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685" activeTab="1"/>
  </bookViews>
  <sheets>
    <sheet name="Emilia-Romagna e Italia" sheetId="1" r:id="rId1"/>
    <sheet name="Province_ER_Italia" sheetId="2" r:id="rId2"/>
    <sheet name="Vendite_settori_ER_IT" sheetId="3" r:id="rId3"/>
    <sheet name="Ateco2002-settori" sheetId="4" r:id="rId4"/>
    <sheet name="Ateco2007-settori" sheetId="5" r:id="rId5"/>
  </sheets>
  <definedNames>
    <definedName name="_Regression_Int" localSheetId="0" hidden="1">1</definedName>
    <definedName name="A">#N/A</definedName>
    <definedName name="B">#N/A</definedName>
  </definedNames>
  <calcPr fullCalcOnLoad="1"/>
</workbook>
</file>

<file path=xl/sharedStrings.xml><?xml version="1.0" encoding="utf-8"?>
<sst xmlns="http://schemas.openxmlformats.org/spreadsheetml/2006/main" count="5630" uniqueCount="304">
  <si>
    <t>EMILIA-ROMAGNA E ITALIA.</t>
  </si>
  <si>
    <t>-</t>
  </si>
  <si>
    <t>Emilia-Romagna</t>
  </si>
  <si>
    <t>Italia</t>
  </si>
  <si>
    <t>--------</t>
  </si>
  <si>
    <t>Andamento delle vendite: confronto sul trimestre precedente</t>
  </si>
  <si>
    <t>Andamento delle vendite: confronto sullo stesso trimestre anno precedente</t>
  </si>
  <si>
    <t>Consistenza delle giacenze a fine trimestre</t>
  </si>
  <si>
    <t>Piccola</t>
  </si>
  <si>
    <t>Media</t>
  </si>
  <si>
    <t>Grande</t>
  </si>
  <si>
    <t>Piccola distribuzione</t>
  </si>
  <si>
    <t>Media distribuzione</t>
  </si>
  <si>
    <t>Grande distribuzione</t>
  </si>
  <si>
    <t>Totale esercizi</t>
  </si>
  <si>
    <t>distribuzione</t>
  </si>
  <si>
    <t>Ritiro</t>
  </si>
  <si>
    <t>Trimestri e</t>
  </si>
  <si>
    <t>Saldo</t>
  </si>
  <si>
    <t>Var.%</t>
  </si>
  <si>
    <t>In</t>
  </si>
  <si>
    <t>In dimi-</t>
  </si>
  <si>
    <t>dal</t>
  </si>
  <si>
    <t>media annua</t>
  </si>
  <si>
    <t>+/-</t>
  </si>
  <si>
    <t>Stabili</t>
  </si>
  <si>
    <t>monetaria</t>
  </si>
  <si>
    <t>sviluppo</t>
  </si>
  <si>
    <t>Stabile</t>
  </si>
  <si>
    <t>nuzione</t>
  </si>
  <si>
    <t>mercato</t>
  </si>
  <si>
    <t>2 trim. 2000</t>
  </si>
  <si>
    <t>3 trim.</t>
  </si>
  <si>
    <t>4 trim.</t>
  </si>
  <si>
    <t>Media 2000</t>
  </si>
  <si>
    <t>1 trim. 2001</t>
  </si>
  <si>
    <t>2 trim.</t>
  </si>
  <si>
    <t>Media 2001</t>
  </si>
  <si>
    <t>1 trim. 2002</t>
  </si>
  <si>
    <t>Media 2002</t>
  </si>
  <si>
    <t>1 trim. 2003</t>
  </si>
  <si>
    <t>Media 2003</t>
  </si>
  <si>
    <t>1 trim. 2004</t>
  </si>
  <si>
    <t>Media 2004</t>
  </si>
  <si>
    <t>1 trim. 2005</t>
  </si>
  <si>
    <t>Media 2005</t>
  </si>
  <si>
    <t>1 trim. 2006</t>
  </si>
  <si>
    <t>Media 2006</t>
  </si>
  <si>
    <t>1 trim. 2007</t>
  </si>
  <si>
    <t>Media 2007</t>
  </si>
  <si>
    <t>Piccola distribuzione: da 1 a 5 addetti.</t>
  </si>
  <si>
    <t>Media distribuzione: da 6 a 19 addetti.</t>
  </si>
  <si>
    <t>Grande distribuzione: da 20 addetti in poi.</t>
  </si>
  <si>
    <t>1 trim. 2008</t>
  </si>
  <si>
    <t>Media 2008</t>
  </si>
  <si>
    <t>Fonte: Sistema camerale dell'Emilia-Romagna con la collaborazione dell'Unione italiana delle camere di commercio.</t>
  </si>
  <si>
    <t>Da 1 a 19</t>
  </si>
  <si>
    <t>(a) I saldi sono ottenuti dalla differenza fra le risposte di aumento (+) e diminuzione (-). Nalla consistenza delle giacenze sono dati da esuberanti (+) e scarse (-).</t>
  </si>
  <si>
    <t>Totale imprese</t>
  </si>
  <si>
    <t>dipendenti</t>
  </si>
  <si>
    <t>Imprese da 1 a 19 dipendenti</t>
  </si>
  <si>
    <t>Adeguate</t>
  </si>
  <si>
    <t>Esuberanti</t>
  </si>
  <si>
    <t>meno scarse</t>
  </si>
  <si>
    <t>1 trim. 2009</t>
  </si>
  <si>
    <t>Media 2009</t>
  </si>
  <si>
    <t>Media 2010</t>
  </si>
  <si>
    <t>1 trim. 2010</t>
  </si>
  <si>
    <t>CLASSIFICAZIONE DELLE DIVISIONI E DEI GRUPPI DI ATTIVITA' ECONOMICA (ATECO 2002) NEI SETTORI DI INDAGINE</t>
  </si>
  <si>
    <t>COMMERCIO AL DETTAGLIO</t>
  </si>
  <si>
    <t>SETTORI "EXCELSIOR"</t>
  </si>
  <si>
    <t xml:space="preserve"> ATECO 2002</t>
  </si>
  <si>
    <t>Commercio al dettaglio di prodotti alimentari</t>
  </si>
  <si>
    <t>52.11.3  Discount di alimentari</t>
  </si>
  <si>
    <t>52.11.4  Minimercati ed altri esercizi non specializzati di alimentari vari</t>
  </si>
  <si>
    <t>52.11.5  Commercio al dettaglio di prodotti surgelati</t>
  </si>
  <si>
    <t>52.2  Comm. dettaglio in esercizi specializz. di prod. alimentari, bevande e tabacchi</t>
  </si>
  <si>
    <t>Commercio al dettaglio di prodotti non alimentari</t>
  </si>
  <si>
    <t xml:space="preserve"> - Abbigliamento ed accessori</t>
  </si>
  <si>
    <t>52.41 Commercio al dettaglio di tessili</t>
  </si>
  <si>
    <t>52.42 Commercio al dettaglio di articoli di abbigliamento</t>
  </si>
  <si>
    <t>52.43 Commercio al dettaglio di calzature e articoli in cuoio</t>
  </si>
  <si>
    <t xml:space="preserve"> - Prodotti per la casa ed elettrodomestici</t>
  </si>
  <si>
    <t>52.44 Commercio al dettaglio di mobili, di articoli per l'illuminazione e art. per la casa n.c.a.</t>
  </si>
  <si>
    <t>52.45 Commercio al dettaglio di elettrodomestici, apparecchi radio, televisori, strum.musicali</t>
  </si>
  <si>
    <t>52.46 Commercio al dettaglio di ferramenta, colori, vernici, vetro</t>
  </si>
  <si>
    <t xml:space="preserve"> - Altri prodotti non alimentari</t>
  </si>
  <si>
    <t>52.12.2  Bazar ed altri negozi non specializzati di vari prodotti non alimentari</t>
  </si>
  <si>
    <t>52.3  Comm. dettaglio prod. farmaceutici, medicali, cosmetici e articoli di profumeria</t>
  </si>
  <si>
    <t>52.47 Commercio al dettaglio di libri, giornali, riviste e articoli di cartoleria</t>
  </si>
  <si>
    <t>52.48 Commercio al dettaglio di altri prodotti in esercizi specializzati</t>
  </si>
  <si>
    <t>52.5  Commercio al dettaglio di articoli di seconda mano</t>
  </si>
  <si>
    <t>52.6  Commercio al dettaglio al di fuori dei negozi</t>
  </si>
  <si>
    <t>52.7  Riparazione di beni di consumo personali e per la casa</t>
  </si>
  <si>
    <t>Ipermercati, supermercati e grandi magazzini</t>
  </si>
  <si>
    <t>52.11.1  Ipermercati</t>
  </si>
  <si>
    <t>52.11.2  Supermercati</t>
  </si>
  <si>
    <t>52.12.1  Grandi magazzini</t>
  </si>
  <si>
    <t>Imprese che</t>
  </si>
  <si>
    <t>possiedono</t>
  </si>
  <si>
    <t>un sito web</t>
  </si>
  <si>
    <t>%</t>
  </si>
  <si>
    <t>Orientamento delle imprese circa l'evoluzione della propria attività nei dodici mesi successivi al trimestre di riferimento.</t>
  </si>
  <si>
    <t>Media 2011</t>
  </si>
  <si>
    <t>1 trim. 2011</t>
  </si>
  <si>
    <t>CLASSIFICAZIONE DELLE DIVISIONI E DEI GRUPPI DI ATTIVITA' ECONOMICA (ATECO 2007) NEI SETTORI DI INDAGINE</t>
  </si>
  <si>
    <t>SETTORI DI INDAGINE</t>
  </si>
  <si>
    <t xml:space="preserve"> ATECO 2007</t>
  </si>
  <si>
    <t>47.11.3 Discount di alimentari</t>
  </si>
  <si>
    <t>47.11.4 Minimercati ed altri esercizi non specializzati di alimentari vari</t>
  </si>
  <si>
    <t>47.11.5 Commercio al dettaglio di prodotti surgelati</t>
  </si>
  <si>
    <t>47.2 COMMERCIO AL DETTAGLIO DI PRODOTTI ALIMENTARI, BEVANDE E TABACCO IN ESERCIZI SPECIALIZZATI</t>
  </si>
  <si>
    <t>47.19.2 Commercio al dettaglio in esercizi non specializzati di computer, periferiche, attrezzature per le telecomunicazioni, elettronica di consumo audio e video, elettrodomestici</t>
  </si>
  <si>
    <t>47.19.9 Empori ed altri negozi non specializzati di vari prodotti non alimentari</t>
  </si>
  <si>
    <t>47.4 COMMERCIO AL DETTAGLIO DI APPARECCHIATURE INFORMATICHE E PER LE TELECOMUNICAZIONI (ICT) IN ESERCIZI SPECIALIZZATI</t>
  </si>
  <si>
    <t>47.5 COMMERCIO AL DETTAGLIO DI ALTRI PRODOTTI PER USO DOMESTICO IN ESERCIZI SPECIALIZZATI</t>
  </si>
  <si>
    <t>47.6 COMMERCIO AL DETTAGLIO DI ARTICOLI CULTURALI E RICREATIVI IN ESERCIZI SPECIALIZZATI</t>
  </si>
  <si>
    <t>47.7 COMMERCIO AL DETTAGLIO DI ALTRI PRODOTTI IN ESERCIZI SPECIALIZZATI</t>
  </si>
  <si>
    <t>47.8 COMMERCIO AL DETTAGLIO AMBULANTE</t>
  </si>
  <si>
    <t>47.9 COMMERCIO AL DETTAGLIO AL DI FUORI DI NEGOZI, BANCHI E MERCATI</t>
  </si>
  <si>
    <t>47.11.1 Ipermercati</t>
  </si>
  <si>
    <t>47.11.2 Supermercati</t>
  </si>
  <si>
    <t>47.19.1 Grandi magazzini</t>
  </si>
  <si>
    <t>47.11.3</t>
  </si>
  <si>
    <t>Discount di alimentari</t>
  </si>
  <si>
    <t>47.11.4</t>
  </si>
  <si>
    <t>Minimercati ed altri esercizi non specializzati di alimentari vari</t>
  </si>
  <si>
    <t>47.11.5</t>
  </si>
  <si>
    <t>Commercio al dettaglio di prodotti surgelati</t>
  </si>
  <si>
    <t>47.2</t>
  </si>
  <si>
    <t>Commercio al dettaglio di prodotti alimentari, bevande e tabacco in esercizi specializzati</t>
  </si>
  <si>
    <t>47.51</t>
  </si>
  <si>
    <t>Commercio al dettaglio di prodotti tessili in esercizi specializzati</t>
  </si>
  <si>
    <t>47.71</t>
  </si>
  <si>
    <t>Commercio al dettaglio di articoli per l'abbigliamento in esercizi specializzati</t>
  </si>
  <si>
    <t>47.72</t>
  </si>
  <si>
    <t>Commercio al dettaglio di calzature e articoli in pelle in esercizi specializzati</t>
  </si>
  <si>
    <t>47.19.2</t>
  </si>
  <si>
    <t>Commercio al dettaglio in esercizi non specializzati di computer, periferiche, attrezzature per le telecomunicazioni, elettronica di consumo audio e video, elettrodomestici</t>
  </si>
  <si>
    <t>47.43</t>
  </si>
  <si>
    <t>Commercio al dettaglio di apparecchi audio e video in esercizi specializzati</t>
  </si>
  <si>
    <t>47.52</t>
  </si>
  <si>
    <t>Commercio al dettaglio di ferramenta, vernici, vetro piano e materiali da costruzione in esercizi specializzati</t>
  </si>
  <si>
    <t>47.53.1</t>
  </si>
  <si>
    <t>Commercio al dettaglio di tappeti</t>
  </si>
  <si>
    <t>47.54</t>
  </si>
  <si>
    <t>Commercio al dettaglio di elettrodomestici in esercizi specializzati</t>
  </si>
  <si>
    <t>47.59</t>
  </si>
  <si>
    <t>Commercio al dettaglio di mobili, di articoli per l'illuminazione e altri articoli per la casa in esercizi specializzati</t>
  </si>
  <si>
    <t>47.63</t>
  </si>
  <si>
    <t>Commercio al dettaglio di registrazioni musicali e video in esercizi specializzati</t>
  </si>
  <si>
    <t>47.19.9</t>
  </si>
  <si>
    <t>Empori ed altri negozi non specializzati di vari prodotti non alimentari</t>
  </si>
  <si>
    <t>47.41</t>
  </si>
  <si>
    <t>Commercio al dettaglio di computer, unità periferiche, software e attrezzature per ufficio in esercizi specializzati</t>
  </si>
  <si>
    <t>47.42</t>
  </si>
  <si>
    <t>Commercio al dettaglio di apparecchiature per le telecomunicazioni e la telefonia in esercizi specializzati</t>
  </si>
  <si>
    <t>47.53.2</t>
  </si>
  <si>
    <t>Commercio al dettaglio di utensili per la casa, di cristallerie e vasellame</t>
  </si>
  <si>
    <t>47.61</t>
  </si>
  <si>
    <t>Commercio al dettaglio di libri nuovi in esercizi specializzati</t>
  </si>
  <si>
    <t>47.62</t>
  </si>
  <si>
    <t>Commercio al dettaglio di giornali, riviste e periodici</t>
  </si>
  <si>
    <t>47.64</t>
  </si>
  <si>
    <t>Commercio al dettaglio di articoli sportivi in esercizi specializzati</t>
  </si>
  <si>
    <t>47.65</t>
  </si>
  <si>
    <t>Commercio al dettaglio di giochi e giocattoli, compresi quelli elettronici</t>
  </si>
  <si>
    <t>47.73</t>
  </si>
  <si>
    <t>Commercio al dettaglio di medicinali in esercizi specializzati</t>
  </si>
  <si>
    <t>47.74</t>
  </si>
  <si>
    <t>Commercio al dettaglio di articoli medicali e ortopedici in esercizi specializzati</t>
  </si>
  <si>
    <t>47.75</t>
  </si>
  <si>
    <t>Commercio al dettaglio di cosmetici, di articoli di profumeria e di erboristeria in esercizi specializzati</t>
  </si>
  <si>
    <t>47.76</t>
  </si>
  <si>
    <t>Commercio al dettaglio di fiori, piante, semi, fertilizzanti, animali domestici e alimenti per animali domestici in esercizi specializzati</t>
  </si>
  <si>
    <t>47.77</t>
  </si>
  <si>
    <t>Commercio al dettaglio di orologi, articoli di gioielleria e argenteria</t>
  </si>
  <si>
    <t>47.78</t>
  </si>
  <si>
    <t>Commercio al dettaglio di altri prodotti (esclusi quelli di seconda mano) in esercizi specializzati</t>
  </si>
  <si>
    <t>47.79</t>
  </si>
  <si>
    <t xml:space="preserve"> </t>
  </si>
  <si>
    <t>47.8</t>
  </si>
  <si>
    <t>Commercio al dettaglio ambulante</t>
  </si>
  <si>
    <t>47.9</t>
  </si>
  <si>
    <t>Commercio al dettaglio al di fuori dei negozi, banchi e mercati</t>
  </si>
  <si>
    <t>47.11.1</t>
  </si>
  <si>
    <t>Ipermercati</t>
  </si>
  <si>
    <t>47.11.2</t>
  </si>
  <si>
    <t>Supermercati</t>
  </si>
  <si>
    <t>47.19.1</t>
  </si>
  <si>
    <t>Grandi magazzini</t>
  </si>
  <si>
    <t>Emilia-Romagna.</t>
  </si>
  <si>
    <t>(b) Fino al IV trimestre 2009 è stata utilizzata la codifica Istat Ateco2002. Dal I trimestre 2010 viene utilizzata la codifica Istat Ateco2007.</t>
  </si>
  <si>
    <t>….</t>
  </si>
  <si>
    <t>1 trim. 2012</t>
  </si>
  <si>
    <t>Media 2012</t>
  </si>
  <si>
    <t>Andamento previsto delle vendite nel trimestre successivo</t>
  </si>
  <si>
    <t xml:space="preserve">Previsioni relative agli ordinativi rivolti ai fornitori nel trimestre successivo </t>
  </si>
  <si>
    <t>1 trim. 2013</t>
  </si>
  <si>
    <t>Media 2013</t>
  </si>
  <si>
    <t>esuberanti</t>
  </si>
  <si>
    <t>PROVINCE DELL'EMILIA-ROMAGNA E ITALIA</t>
  </si>
  <si>
    <t>Provincia di Bologna</t>
  </si>
  <si>
    <t>Provincia di Ferrara</t>
  </si>
  <si>
    <t>Provincia di Forlì-Cesena</t>
  </si>
  <si>
    <t>Provincia di Modena</t>
  </si>
  <si>
    <t>Provincia di Parma</t>
  </si>
  <si>
    <t>Provincia di Piacenza</t>
  </si>
  <si>
    <t>Provincia di Ravenna</t>
  </si>
  <si>
    <t>Provincia di Reggio E.</t>
  </si>
  <si>
    <t>Provincia di Rimini</t>
  </si>
  <si>
    <t>Andamento delle</t>
  </si>
  <si>
    <t>Andamento delle vendite</t>
  </si>
  <si>
    <t>Previsioni relative</t>
  </si>
  <si>
    <t xml:space="preserve">vendite </t>
  </si>
  <si>
    <t>rispetto allo stesso</t>
  </si>
  <si>
    <t xml:space="preserve">Andamento previsto </t>
  </si>
  <si>
    <t>Consistenza delle</t>
  </si>
  <si>
    <t>agli ordinativi rivolti</t>
  </si>
  <si>
    <t>Orientamento delle imprese circa l'evoluzione della propria attività</t>
  </si>
  <si>
    <t>rispetto al</t>
  </si>
  <si>
    <t xml:space="preserve">trimestre dell'anno </t>
  </si>
  <si>
    <t xml:space="preserve">delle vendite nel </t>
  </si>
  <si>
    <t>giacenze a fine</t>
  </si>
  <si>
    <t>ai fornitori nel trimestre</t>
  </si>
  <si>
    <t xml:space="preserve">nei dodici mesi successivi </t>
  </si>
  <si>
    <t>trimestre precedente</t>
  </si>
  <si>
    <t>precedente</t>
  </si>
  <si>
    <t>trimestre successivo</t>
  </si>
  <si>
    <t>trimestre</t>
  </si>
  <si>
    <t xml:space="preserve">successivo </t>
  </si>
  <si>
    <t>---------</t>
  </si>
  <si>
    <t>----------</t>
  </si>
  <si>
    <t xml:space="preserve">In </t>
  </si>
  <si>
    <t>Var. %</t>
  </si>
  <si>
    <t>diminuz.</t>
  </si>
  <si>
    <t>(a) I saldi sono ottenuti dalla differenza fra le risposte di aumento (+) e diminuzione (-).</t>
  </si>
  <si>
    <t>(b) Fino al IV trimestre 2009 utilizza la codifica Ateco2002. Dal I trimestre 2010 utilizza la codifica Ateco2007.</t>
  </si>
  <si>
    <t>VAR.% DELLE VENDITE RISPETTO ALLO STESSO TRIMESTRE DELL'ANNO PRECEDENTE.</t>
  </si>
  <si>
    <t>------------</t>
  </si>
  <si>
    <t>Settori di attività</t>
  </si>
  <si>
    <t>Localizzazione punti di vendita</t>
  </si>
  <si>
    <t>-----------</t>
  </si>
  <si>
    <t>Commercio al dettaglio prodotti non alimentari</t>
  </si>
  <si>
    <t>Commercio</t>
  </si>
  <si>
    <t>Prodotti</t>
  </si>
  <si>
    <t>al</t>
  </si>
  <si>
    <t>per la</t>
  </si>
  <si>
    <t>Altri</t>
  </si>
  <si>
    <t>dettaglio</t>
  </si>
  <si>
    <t>Abbigliam.</t>
  </si>
  <si>
    <t>casa</t>
  </si>
  <si>
    <t>prodotti</t>
  </si>
  <si>
    <t>supermerc.</t>
  </si>
  <si>
    <t>Comuni</t>
  </si>
  <si>
    <t>Imprese</t>
  </si>
  <si>
    <t>Totale</t>
  </si>
  <si>
    <t>ed</t>
  </si>
  <si>
    <t>elettro-</t>
  </si>
  <si>
    <t>non</t>
  </si>
  <si>
    <t>e grandi</t>
  </si>
  <si>
    <t>turistici</t>
  </si>
  <si>
    <t>Altri comuni</t>
  </si>
  <si>
    <t>pluri-</t>
  </si>
  <si>
    <t>attività</t>
  </si>
  <si>
    <t>alimentari</t>
  </si>
  <si>
    <t>accessori</t>
  </si>
  <si>
    <t>domestici</t>
  </si>
  <si>
    <t>aliment.</t>
  </si>
  <si>
    <t>magazzini</t>
  </si>
  <si>
    <t>(1)</t>
  </si>
  <si>
    <t>localizz.</t>
  </si>
  <si>
    <t>(….) Dati non disponibili</t>
  </si>
  <si>
    <t>(a) Fino al IV trimestre 2009 utilizza la codifica Istat Ateco2002. Dal I trimestre 2010 utilizza la codifica Ateco2007.</t>
  </si>
  <si>
    <r>
      <t xml:space="preserve">Provincia di Bologna </t>
    </r>
    <r>
      <rPr>
        <b/>
        <sz val="9"/>
        <color indexed="60"/>
        <rFont val="Arial"/>
        <family val="2"/>
      </rPr>
      <t>(1)</t>
    </r>
  </si>
  <si>
    <t>(2) Nel secondo trimestre 2012 sono state escluse dalle interviste le imprese situate nei comuni di Bondeno, Cento, Ferrara, Mirabello, Poggio Renatico e Sant'Agostino..</t>
  </si>
  <si>
    <r>
      <t xml:space="preserve">Provincia di Modena </t>
    </r>
    <r>
      <rPr>
        <b/>
        <sz val="9"/>
        <color indexed="60"/>
        <rFont val="Arial"/>
        <family val="2"/>
      </rPr>
      <t>(4)</t>
    </r>
  </si>
  <si>
    <r>
      <t xml:space="preserve">Provincia di Reggio Emilia </t>
    </r>
    <r>
      <rPr>
        <b/>
        <sz val="9"/>
        <color indexed="60"/>
        <rFont val="Arial"/>
        <family val="2"/>
      </rPr>
      <t>(5)</t>
    </r>
  </si>
  <si>
    <r>
      <t xml:space="preserve">2 trim. </t>
    </r>
    <r>
      <rPr>
        <b/>
        <sz val="9"/>
        <color indexed="60"/>
        <rFont val="Arial"/>
        <family val="2"/>
      </rPr>
      <t>(*)</t>
    </r>
  </si>
  <si>
    <r>
      <t xml:space="preserve">3 trim. </t>
    </r>
    <r>
      <rPr>
        <b/>
        <sz val="9"/>
        <color indexed="60"/>
        <rFont val="Arial"/>
        <family val="2"/>
      </rPr>
      <t>(**)</t>
    </r>
  </si>
  <si>
    <r>
      <rPr>
        <b/>
        <sz val="9"/>
        <color indexed="60"/>
        <rFont val="Arial"/>
        <family val="2"/>
      </rP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Ferrara (FE), Mirabello (FE), Poggio Renatico (FE), Sant'Agostino (FE), Vigarano Mainarda (FE). (elenco diffuso dalla Protezione Civile)</t>
    </r>
  </si>
  <si>
    <r>
      <rPr>
        <b/>
        <sz val="9"/>
        <color indexed="60"/>
        <rFont val="Arial"/>
        <family val="2"/>
      </rP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Mirabello (FE), Poggio Renatico (FE), Sant'Agostino (FE), Vigarano Mainarda (FE). (elenco diffuso dalla Protezione Civile)</t>
    </r>
  </si>
  <si>
    <t>Media 2014</t>
  </si>
  <si>
    <t>1 trim. 2014</t>
  </si>
  <si>
    <r>
      <t xml:space="preserve">4 trim. </t>
    </r>
    <r>
      <rPr>
        <b/>
        <sz val="9"/>
        <color indexed="60"/>
        <rFont val="Arial"/>
        <family val="2"/>
      </rPr>
      <t>(**)</t>
    </r>
  </si>
  <si>
    <t>(1) Nel secondo, terzo e quarto trimestre 2012 sono state escluse dalle interviste le imprese situate nei comuni di Crevalcore, Galliera, Pieve di Cento, San Giovanni in Persiceto e San Pietro in Casale.</t>
  </si>
  <si>
    <t>(4) Nel secondo, terzo e quarto trimestre 2012 sono state escluse dalle interviste le imprese situate nei comuni di Bomporto, Camposanto, Carpi, Cavezzo, Concordia sulla Secchia, Finale Emilia, Medolla, Mirandola, Novi di Modena, Ravarino, San Felice sul Panaro, San Possidonio e San Prospero.</t>
  </si>
  <si>
    <t>(5) Nel secondo, terzo e quarto trimestre 2012 sono state escluse dalle interviste le imprese situate nei comuni di Campagnola Emila, Correggio, Fabbrico, Novellara, Reggiolo, Rio Saliceto e Rolo.</t>
  </si>
  <si>
    <t>(3) Nel terzo e quarto trimestre 2012 sono state escluse dalle interviste le imprese situate nei comuni di Bondeno, Cento, Mirabello, Poggio Renatico e Sant'Agostino.</t>
  </si>
  <si>
    <r>
      <t xml:space="preserve">Provincia di Ferrara </t>
    </r>
    <r>
      <rPr>
        <b/>
        <sz val="9"/>
        <color indexed="60"/>
        <rFont val="Arial"/>
        <family val="2"/>
      </rPr>
      <t>(2)(3)</t>
    </r>
  </si>
  <si>
    <t>Da 20 dipendenti e oltre</t>
  </si>
  <si>
    <t>Imprese da 20 dipendenti e oltre (1)</t>
  </si>
  <si>
    <t>(1) Fino al quarto trimestre 2006 era indicato come "grande distribuzione".</t>
  </si>
  <si>
    <t>Da 20 dip. e oltre (1)</t>
  </si>
  <si>
    <t>INDAGINE CONGIUNTURALE DEL COMMERCIO AL DETTAGLIO IN FORMA FISSA E AMBULANTE.</t>
  </si>
  <si>
    <t>INDAGINE CONGIUNTURALE DEL COMMERCIO AL DETTAGLIO IN FORMA FISSA  E AMBULANTE (a).</t>
  </si>
  <si>
    <t>INDAGINE CONGIUNTURALE DEL COMMERCIO AL DETTAGLIO IN FORMA FISSA E AMBULANTE (a)(b).</t>
  </si>
  <si>
    <t>1 trim. 2015</t>
  </si>
  <si>
    <t>Media 2015</t>
  </si>
  <si>
    <t>1 trim. 2016</t>
  </si>
  <si>
    <t>Media 2016</t>
  </si>
  <si>
    <t>(….) Dati non disponibili.</t>
  </si>
  <si>
    <t>PERIODO: 2 trimestre 2000 - 3 trimestre 2016.</t>
  </si>
  <si>
    <t>PERIODO: 1 trimestre 2003 - 3 trimestre 2016.</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</si>
</sst>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numFmt numFmtId="165" formatCode="0.0_)"/>
    <numFmt numFmtId="166" formatCode="#,##0_);\(#,##0\)"/>
    <numFmt numFmtId="167" formatCode="0.0"/>
    <numFmt numFmtId="168" formatCode="0.0_ ;[Red]\-0.0\ "/>
    <numFmt numFmtId="169" formatCode="0_ ;[Red]\-0\ "/>
    <numFmt numFmtId="170" formatCode="0.0000000"/>
    <numFmt numFmtId="171" formatCode="0.000000"/>
    <numFmt numFmtId="172" formatCode="0.00000"/>
    <numFmt numFmtId="173" formatCode="0.0000"/>
    <numFmt numFmtId="174" formatCode="0.000"/>
    <numFmt numFmtId="175" formatCode="&quot;Sì&quot;;&quot;Sì&quot;;&quot;No&quot;"/>
    <numFmt numFmtId="176" formatCode="&quot;Vero&quot;;&quot;Vero&quot;;&quot;Falso&quot;"/>
    <numFmt numFmtId="177" formatCode="&quot;Attivo&quot;;&quot;Attivo&quot;;&quot;Inattivo&quot;"/>
    <numFmt numFmtId="178" formatCode="[$€-2]\ #.##000_);[Red]\([$€-2]\ #.##000\)"/>
  </numFmts>
  <fonts count="51">
    <font>
      <sz val="10"/>
      <name val="Courier"/>
      <family val="0"/>
    </font>
    <font>
      <sz val="10"/>
      <name val="Arial"/>
      <family val="0"/>
    </font>
    <font>
      <sz val="8"/>
      <name val="Courier"/>
      <family val="3"/>
    </font>
    <font>
      <sz val="9"/>
      <name val="Arial"/>
      <family val="2"/>
    </font>
    <font>
      <sz val="9"/>
      <color indexed="12"/>
      <name val="Arial"/>
      <family val="2"/>
    </font>
    <font>
      <b/>
      <sz val="9"/>
      <name val="Arial"/>
      <family val="2"/>
    </font>
    <font>
      <b/>
      <sz val="12"/>
      <name val="Arial"/>
      <family val="2"/>
    </font>
    <font>
      <sz val="12"/>
      <name val="Arial"/>
      <family val="2"/>
    </font>
    <font>
      <b/>
      <sz val="10"/>
      <name val="Arial"/>
      <family val="2"/>
    </font>
    <font>
      <b/>
      <sz val="11"/>
      <name val="Arial"/>
      <family val="2"/>
    </font>
    <font>
      <i/>
      <sz val="9"/>
      <name val="Arial"/>
      <family val="2"/>
    </font>
    <font>
      <i/>
      <sz val="9"/>
      <name val="Tahoma"/>
      <family val="2"/>
    </font>
    <font>
      <sz val="9"/>
      <color indexed="10"/>
      <name val="Arial"/>
      <family val="2"/>
    </font>
    <font>
      <i/>
      <sz val="9"/>
      <color indexed="8"/>
      <name val="Arial"/>
      <family val="2"/>
    </font>
    <font>
      <i/>
      <sz val="10"/>
      <name val="Arial"/>
      <family val="2"/>
    </font>
    <font>
      <i/>
      <sz val="9"/>
      <color indexed="10"/>
      <name val="Tahoma"/>
      <family val="2"/>
    </font>
    <font>
      <sz val="9"/>
      <name val="Tahoma"/>
      <family val="2"/>
    </font>
    <font>
      <b/>
      <sz val="9"/>
      <color indexed="6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color theme="1"/>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38"/>
      </top>
      <bottom>
        <color indexed="63"/>
      </bottom>
    </border>
    <border>
      <left>
        <color indexed="63"/>
      </left>
      <right>
        <color indexed="63"/>
      </right>
      <top>
        <color indexed="63"/>
      </top>
      <bottom style="medium">
        <color indexed="21"/>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ck">
        <color indexed="20"/>
      </top>
      <bottom>
        <color indexed="63"/>
      </bottom>
    </border>
    <border>
      <left>
        <color indexed="63"/>
      </left>
      <right>
        <color indexed="63"/>
      </right>
      <top>
        <color indexed="63"/>
      </top>
      <bottom style="medium">
        <color indexed="20"/>
      </bottom>
    </border>
    <border>
      <left>
        <color indexed="63"/>
      </left>
      <right>
        <color indexed="63"/>
      </right>
      <top style="thick">
        <color indexed="51"/>
      </top>
      <bottom>
        <color indexed="63"/>
      </bottom>
    </border>
    <border>
      <left>
        <color indexed="63"/>
      </left>
      <right>
        <color indexed="63"/>
      </right>
      <top>
        <color indexed="63"/>
      </top>
      <bottom style="medium">
        <color indexed="5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48">
    <xf numFmtId="0" fontId="0" fillId="0" borderId="0" xfId="0" applyAlignment="1">
      <alignment/>
    </xf>
    <xf numFmtId="0" fontId="3" fillId="0" borderId="0" xfId="0" applyFont="1" applyAlignment="1" applyProtection="1">
      <alignment horizontal="left"/>
      <protection/>
    </xf>
    <xf numFmtId="0" fontId="3" fillId="0" borderId="0" xfId="0" applyFont="1" applyAlignment="1">
      <alignment/>
    </xf>
    <xf numFmtId="0" fontId="4" fillId="0" borderId="0" xfId="0" applyFont="1" applyAlignment="1" applyProtection="1">
      <alignment horizontal="left"/>
      <protection locked="0"/>
    </xf>
    <xf numFmtId="0" fontId="3" fillId="0" borderId="10" xfId="0" applyFont="1" applyBorder="1" applyAlignment="1" applyProtection="1">
      <alignment horizontal="fill"/>
      <protection/>
    </xf>
    <xf numFmtId="0" fontId="3" fillId="0" borderId="0" xfId="0" applyFont="1" applyAlignment="1" applyProtection="1">
      <alignment horizontal="fill"/>
      <protection/>
    </xf>
    <xf numFmtId="0" fontId="3" fillId="0" borderId="0" xfId="0" applyFont="1" applyAlignment="1" applyProtection="1">
      <alignment horizontal="center"/>
      <protection/>
    </xf>
    <xf numFmtId="0" fontId="3" fillId="0" borderId="11" xfId="0" applyFont="1" applyBorder="1" applyAlignment="1" applyProtection="1">
      <alignment horizontal="fill"/>
      <protection/>
    </xf>
    <xf numFmtId="164" fontId="4" fillId="0" borderId="0" xfId="0" applyNumberFormat="1" applyFont="1" applyAlignment="1" applyProtection="1">
      <alignment/>
      <protection locked="0"/>
    </xf>
    <xf numFmtId="165" fontId="4" fillId="0" borderId="0" xfId="0" applyNumberFormat="1" applyFont="1" applyAlignment="1" applyProtection="1">
      <alignment/>
      <protection locked="0"/>
    </xf>
    <xf numFmtId="166" fontId="4" fillId="0" borderId="0" xfId="0" applyNumberFormat="1" applyFont="1" applyAlignment="1" applyProtection="1">
      <alignment/>
      <protection locked="0"/>
    </xf>
    <xf numFmtId="0" fontId="3" fillId="0" borderId="0" xfId="0" applyFont="1" applyAlignment="1" applyProtection="1">
      <alignment/>
      <protection/>
    </xf>
    <xf numFmtId="0" fontId="4" fillId="0" borderId="0" xfId="0" applyFont="1" applyAlignment="1" applyProtection="1">
      <alignment/>
      <protection locked="0"/>
    </xf>
    <xf numFmtId="164" fontId="3" fillId="0" borderId="0" xfId="0" applyNumberFormat="1" applyFont="1" applyAlignment="1" applyProtection="1">
      <alignment/>
      <protection/>
    </xf>
    <xf numFmtId="165" fontId="3" fillId="0" borderId="0" xfId="0" applyNumberFormat="1" applyFont="1" applyAlignment="1" applyProtection="1">
      <alignment/>
      <protection/>
    </xf>
    <xf numFmtId="166" fontId="3" fillId="0" borderId="0" xfId="0" applyNumberFormat="1" applyFont="1" applyAlignment="1" applyProtection="1">
      <alignment/>
      <protection/>
    </xf>
    <xf numFmtId="1" fontId="3" fillId="0" borderId="0" xfId="0" applyNumberFormat="1" applyFont="1" applyAlignment="1" applyProtection="1">
      <alignment/>
      <protection/>
    </xf>
    <xf numFmtId="0" fontId="3" fillId="0" borderId="0" xfId="0" applyFont="1" applyAlignment="1" applyProtection="1">
      <alignment/>
      <protection locked="0"/>
    </xf>
    <xf numFmtId="165" fontId="3" fillId="0" borderId="11" xfId="0" applyNumberFormat="1" applyFont="1" applyBorder="1" applyAlignment="1" applyProtection="1">
      <alignment horizontal="fill"/>
      <protection/>
    </xf>
    <xf numFmtId="0" fontId="5" fillId="0" borderId="0" xfId="0" applyFont="1" applyAlignment="1" applyProtection="1">
      <alignment horizontal="left"/>
      <protection/>
    </xf>
    <xf numFmtId="168" fontId="4" fillId="0" borderId="0" xfId="0" applyNumberFormat="1" applyFont="1" applyAlignment="1" applyProtection="1">
      <alignment/>
      <protection locked="0"/>
    </xf>
    <xf numFmtId="168" fontId="3" fillId="0" borderId="0" xfId="0" applyNumberFormat="1" applyFont="1" applyAlignment="1" applyProtection="1">
      <alignment/>
      <protection/>
    </xf>
    <xf numFmtId="164" fontId="4" fillId="0" borderId="0" xfId="0" applyNumberFormat="1" applyFont="1" applyAlignment="1" applyProtection="1" quotePrefix="1">
      <alignment horizontal="center"/>
      <protection locked="0"/>
    </xf>
    <xf numFmtId="169" fontId="4" fillId="0" borderId="0" xfId="0" applyNumberFormat="1" applyFont="1" applyAlignment="1" applyProtection="1">
      <alignment/>
      <protection locked="0"/>
    </xf>
    <xf numFmtId="169" fontId="3" fillId="0" borderId="0" xfId="0" applyNumberFormat="1" applyFont="1" applyAlignment="1" applyProtection="1">
      <alignment/>
      <protection/>
    </xf>
    <xf numFmtId="1" fontId="4" fillId="0" borderId="0" xfId="0" applyNumberFormat="1" applyFont="1" applyAlignment="1" applyProtection="1">
      <alignment/>
      <protection locked="0"/>
    </xf>
    <xf numFmtId="1" fontId="3" fillId="0" borderId="0" xfId="0" applyNumberFormat="1" applyFont="1" applyAlignment="1">
      <alignment/>
    </xf>
    <xf numFmtId="1" fontId="3" fillId="0" borderId="0" xfId="0" applyNumberFormat="1" applyFont="1" applyAlignment="1" applyProtection="1">
      <alignment/>
      <protection locked="0"/>
    </xf>
    <xf numFmtId="0" fontId="3" fillId="0" borderId="12" xfId="0" applyFont="1" applyBorder="1" applyAlignment="1" applyProtection="1">
      <alignment horizontal="fill"/>
      <protection/>
    </xf>
    <xf numFmtId="0" fontId="3" fillId="0" borderId="12" xfId="0" applyFont="1" applyBorder="1" applyAlignment="1" applyProtection="1">
      <alignment horizontal="left"/>
      <protection/>
    </xf>
    <xf numFmtId="0" fontId="8" fillId="0" borderId="0" xfId="0" applyFont="1" applyAlignment="1">
      <alignment/>
    </xf>
    <xf numFmtId="0" fontId="3" fillId="0" borderId="0" xfId="0" applyFont="1" applyBorder="1" applyAlignment="1">
      <alignment/>
    </xf>
    <xf numFmtId="0" fontId="9" fillId="0" borderId="0" xfId="0" applyFont="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8" fillId="33" borderId="17" xfId="0" applyFont="1" applyFill="1" applyBorder="1" applyAlignment="1">
      <alignment horizontal="center"/>
    </xf>
    <xf numFmtId="0" fontId="8" fillId="33" borderId="18" xfId="0" applyFont="1" applyFill="1" applyBorder="1" applyAlignment="1">
      <alignment horizontal="center"/>
    </xf>
    <xf numFmtId="0" fontId="8" fillId="33" borderId="0" xfId="0" applyFont="1" applyFill="1" applyBorder="1" applyAlignment="1">
      <alignment horizontal="center"/>
    </xf>
    <xf numFmtId="0" fontId="8" fillId="33" borderId="19" xfId="0" applyFont="1" applyFill="1" applyBorder="1" applyAlignment="1">
      <alignment horizontal="center"/>
    </xf>
    <xf numFmtId="0" fontId="5" fillId="33" borderId="20" xfId="0" applyFont="1" applyFill="1" applyBorder="1" applyAlignment="1">
      <alignment/>
    </xf>
    <xf numFmtId="0" fontId="5" fillId="33" borderId="21" xfId="0" applyFont="1" applyFill="1" applyBorder="1" applyAlignment="1">
      <alignment/>
    </xf>
    <xf numFmtId="0" fontId="5" fillId="33" borderId="12" xfId="0" applyFont="1" applyFill="1" applyBorder="1" applyAlignment="1">
      <alignment horizontal="center"/>
    </xf>
    <xf numFmtId="0" fontId="5" fillId="33" borderId="22" xfId="0" applyFont="1" applyFill="1" applyBorder="1" applyAlignment="1">
      <alignment horizontal="center"/>
    </xf>
    <xf numFmtId="0" fontId="3" fillId="0" borderId="13" xfId="0" applyNumberFormat="1" applyFont="1" applyFill="1" applyBorder="1" applyAlignment="1" applyProtection="1">
      <alignment/>
      <protection/>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NumberFormat="1" applyFont="1" applyFill="1" applyBorder="1" applyAlignment="1" applyProtection="1">
      <alignment horizontal="left"/>
      <protection locked="0"/>
    </xf>
    <xf numFmtId="0" fontId="10" fillId="0" borderId="0" xfId="0" applyFont="1" applyBorder="1" applyAlignment="1">
      <alignment/>
    </xf>
    <xf numFmtId="0" fontId="3" fillId="0" borderId="19" xfId="0" applyFont="1" applyBorder="1" applyAlignment="1">
      <alignment/>
    </xf>
    <xf numFmtId="0" fontId="3"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left"/>
      <protection locked="0"/>
    </xf>
    <xf numFmtId="49" fontId="11" fillId="0" borderId="17" xfId="0" applyNumberFormat="1" applyFont="1" applyBorder="1" applyAlignment="1">
      <alignment/>
    </xf>
    <xf numFmtId="46" fontId="10" fillId="0" borderId="0" xfId="0" applyNumberFormat="1" applyFont="1" applyBorder="1" applyAlignment="1">
      <alignment/>
    </xf>
    <xf numFmtId="0" fontId="3" fillId="0" borderId="17" xfId="0" applyFont="1" applyBorder="1" applyAlignment="1">
      <alignment/>
    </xf>
    <xf numFmtId="0" fontId="3" fillId="0" borderId="20" xfId="0" applyNumberFormat="1" applyFont="1" applyFill="1" applyBorder="1" applyAlignment="1" applyProtection="1">
      <alignment/>
      <protection/>
    </xf>
    <xf numFmtId="0" fontId="3" fillId="0" borderId="12" xfId="0" applyFont="1" applyBorder="1" applyAlignment="1">
      <alignment/>
    </xf>
    <xf numFmtId="0" fontId="3" fillId="0" borderId="22" xfId="0" applyFont="1" applyBorder="1" applyAlignment="1">
      <alignment/>
    </xf>
    <xf numFmtId="0" fontId="10" fillId="0" borderId="18" xfId="0" applyFont="1" applyBorder="1" applyAlignment="1">
      <alignment/>
    </xf>
    <xf numFmtId="0" fontId="10" fillId="0" borderId="21" xfId="0" applyFont="1" applyBorder="1" applyAlignment="1">
      <alignment/>
    </xf>
    <xf numFmtId="0" fontId="3" fillId="0" borderId="0" xfId="0" applyFont="1" applyAlignment="1" applyProtection="1" quotePrefix="1">
      <alignment horizontal="center"/>
      <protection/>
    </xf>
    <xf numFmtId="167" fontId="4" fillId="0" borderId="0" xfId="0" applyNumberFormat="1" applyFont="1" applyAlignment="1" applyProtection="1">
      <alignment/>
      <protection locked="0"/>
    </xf>
    <xf numFmtId="167" fontId="3" fillId="0" borderId="0" xfId="0" applyNumberFormat="1" applyFont="1" applyAlignment="1">
      <alignment/>
    </xf>
    <xf numFmtId="0" fontId="9" fillId="0" borderId="12" xfId="0" applyFont="1" applyFill="1" applyBorder="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8" fillId="33" borderId="23" xfId="0" applyFont="1" applyFill="1" applyBorder="1" applyAlignment="1">
      <alignment horizontal="center" vertical="center"/>
    </xf>
    <xf numFmtId="0" fontId="3" fillId="0" borderId="14" xfId="0" applyNumberFormat="1" applyFont="1" applyFill="1" applyBorder="1" applyAlignment="1" applyProtection="1">
      <alignment/>
      <protection/>
    </xf>
    <xf numFmtId="0" fontId="3" fillId="0" borderId="14" xfId="0" applyFont="1" applyBorder="1" applyAlignment="1">
      <alignment vertical="top"/>
    </xf>
    <xf numFmtId="0" fontId="3" fillId="0" borderId="16" xfId="0" applyFont="1" applyBorder="1" applyAlignment="1">
      <alignment vertical="top" wrapText="1"/>
    </xf>
    <xf numFmtId="0" fontId="3" fillId="0" borderId="18" xfId="0" applyNumberFormat="1" applyFont="1" applyFill="1" applyBorder="1" applyAlignment="1" applyProtection="1">
      <alignment horizontal="left"/>
      <protection locked="0"/>
    </xf>
    <xf numFmtId="0" fontId="10" fillId="0" borderId="18" xfId="0" applyFont="1" applyFill="1" applyBorder="1" applyAlignment="1">
      <alignment vertical="top"/>
    </xf>
    <xf numFmtId="0" fontId="10" fillId="0" borderId="19" xfId="0" applyFont="1" applyFill="1" applyBorder="1" applyAlignment="1">
      <alignment vertical="top" wrapText="1"/>
    </xf>
    <xf numFmtId="0" fontId="12" fillId="0" borderId="0" xfId="0" applyFont="1" applyAlignment="1">
      <alignment/>
    </xf>
    <xf numFmtId="0" fontId="12" fillId="0" borderId="18" xfId="0" applyNumberFormat="1" applyFont="1" applyFill="1" applyBorder="1" applyAlignment="1" applyProtection="1">
      <alignment/>
      <protection/>
    </xf>
    <xf numFmtId="0" fontId="12" fillId="0" borderId="21" xfId="0" applyNumberFormat="1" applyFont="1" applyFill="1" applyBorder="1" applyAlignment="1" applyProtection="1">
      <alignment/>
      <protection/>
    </xf>
    <xf numFmtId="0" fontId="10" fillId="0" borderId="21" xfId="0" applyFont="1" applyFill="1" applyBorder="1" applyAlignment="1">
      <alignment vertical="top"/>
    </xf>
    <xf numFmtId="0" fontId="10" fillId="0" borderId="22" xfId="0" applyFont="1" applyFill="1" applyBorder="1" applyAlignment="1">
      <alignment vertical="top" wrapText="1"/>
    </xf>
    <xf numFmtId="0" fontId="12" fillId="0" borderId="14" xfId="0" applyNumberFormat="1" applyFont="1" applyFill="1" applyBorder="1" applyAlignment="1" applyProtection="1">
      <alignment/>
      <protection/>
    </xf>
    <xf numFmtId="0" fontId="12" fillId="0" borderId="14" xfId="0" applyFont="1" applyFill="1" applyBorder="1" applyAlignment="1">
      <alignment vertical="top"/>
    </xf>
    <xf numFmtId="0" fontId="12" fillId="0" borderId="16" xfId="0" applyFont="1" applyFill="1" applyBorder="1" applyAlignment="1">
      <alignment vertical="top" wrapText="1"/>
    </xf>
    <xf numFmtId="0" fontId="3" fillId="0" borderId="18" xfId="0" applyNumberFormat="1" applyFont="1" applyFill="1" applyBorder="1" applyAlignment="1" applyProtection="1">
      <alignment horizontal="left" vertical="top"/>
      <protection locked="0"/>
    </xf>
    <xf numFmtId="0" fontId="10" fillId="0" borderId="18" xfId="0" applyFont="1" applyFill="1" applyBorder="1" applyAlignment="1">
      <alignment vertical="top" wrapText="1"/>
    </xf>
    <xf numFmtId="49" fontId="10" fillId="0" borderId="19" xfId="0" applyNumberFormat="1" applyFont="1" applyFill="1" applyBorder="1" applyAlignment="1">
      <alignment vertical="top" wrapText="1"/>
    </xf>
    <xf numFmtId="0" fontId="12" fillId="0" borderId="0" xfId="0" applyFont="1" applyFill="1" applyAlignment="1">
      <alignment/>
    </xf>
    <xf numFmtId="0" fontId="3" fillId="0" borderId="0" xfId="0" applyFont="1" applyFill="1" applyAlignment="1">
      <alignment/>
    </xf>
    <xf numFmtId="49" fontId="11" fillId="0" borderId="18" xfId="0" applyNumberFormat="1" applyFont="1" applyBorder="1" applyAlignment="1">
      <alignment/>
    </xf>
    <xf numFmtId="0" fontId="13" fillId="0" borderId="18" xfId="0" applyFont="1" applyBorder="1" applyAlignment="1">
      <alignment vertical="top"/>
    </xf>
    <xf numFmtId="0" fontId="13" fillId="0" borderId="19" xfId="0" applyFont="1" applyBorder="1" applyAlignment="1">
      <alignment vertical="top" wrapText="1"/>
    </xf>
    <xf numFmtId="0" fontId="3" fillId="0" borderId="18" xfId="0" applyFont="1" applyBorder="1" applyAlignment="1">
      <alignment/>
    </xf>
    <xf numFmtId="0" fontId="3" fillId="0" borderId="18" xfId="0" applyFont="1" applyBorder="1" applyAlignment="1">
      <alignment vertical="top"/>
    </xf>
    <xf numFmtId="0" fontId="3" fillId="0" borderId="19" xfId="0" applyFont="1" applyBorder="1" applyAlignment="1">
      <alignment vertical="top" wrapText="1"/>
    </xf>
    <xf numFmtId="49" fontId="11" fillId="0" borderId="18" xfId="0" applyNumberFormat="1" applyFont="1" applyBorder="1" applyAlignment="1">
      <alignment vertical="top"/>
    </xf>
    <xf numFmtId="3" fontId="10" fillId="0" borderId="18" xfId="0" applyNumberFormat="1" applyFont="1" applyBorder="1" applyAlignment="1">
      <alignment vertical="top"/>
    </xf>
    <xf numFmtId="0" fontId="10" fillId="0" borderId="19" xfId="0" applyFont="1" applyBorder="1" applyAlignment="1">
      <alignment vertical="top" wrapText="1"/>
    </xf>
    <xf numFmtId="0" fontId="10" fillId="0" borderId="18" xfId="0" applyFont="1" applyBorder="1" applyAlignment="1">
      <alignment vertical="top"/>
    </xf>
    <xf numFmtId="0" fontId="10" fillId="0" borderId="18" xfId="0" applyFont="1" applyBorder="1" applyAlignment="1">
      <alignment horizontal="left" vertical="top"/>
    </xf>
    <xf numFmtId="0" fontId="14" fillId="0" borderId="19" xfId="0" applyNumberFormat="1" applyFont="1" applyBorder="1" applyAlignment="1" quotePrefix="1">
      <alignment vertical="top" wrapText="1"/>
    </xf>
    <xf numFmtId="0" fontId="3" fillId="0" borderId="18" xfId="0" applyFont="1" applyBorder="1" applyAlignment="1">
      <alignment horizontal="left" vertical="top"/>
    </xf>
    <xf numFmtId="49" fontId="15" fillId="0" borderId="21" xfId="0" applyNumberFormat="1" applyFont="1" applyFill="1" applyBorder="1" applyAlignment="1">
      <alignment/>
    </xf>
    <xf numFmtId="0" fontId="12" fillId="0" borderId="13" xfId="0" applyNumberFormat="1" applyFont="1" applyFill="1" applyBorder="1" applyAlignment="1" applyProtection="1">
      <alignment/>
      <protection/>
    </xf>
    <xf numFmtId="0" fontId="12" fillId="0" borderId="17" xfId="0" applyNumberFormat="1" applyFont="1" applyFill="1" applyBorder="1" applyAlignment="1" applyProtection="1">
      <alignment/>
      <protection/>
    </xf>
    <xf numFmtId="0" fontId="12" fillId="0" borderId="20" xfId="0" applyNumberFormat="1" applyFont="1" applyFill="1" applyBorder="1" applyAlignment="1" applyProtection="1">
      <alignment/>
      <protection/>
    </xf>
    <xf numFmtId="0" fontId="5" fillId="0" borderId="0" xfId="0" applyFont="1" applyAlignment="1">
      <alignment/>
    </xf>
    <xf numFmtId="0" fontId="3" fillId="0" borderId="0" xfId="0" applyFont="1" applyAlignment="1" applyProtection="1" quotePrefix="1">
      <alignment horizontal="left"/>
      <protection/>
    </xf>
    <xf numFmtId="0" fontId="3" fillId="0" borderId="0" xfId="0" applyFont="1" applyAlignment="1" quotePrefix="1">
      <alignment horizontal="center"/>
    </xf>
    <xf numFmtId="167" fontId="4" fillId="0" borderId="0" xfId="0" applyNumberFormat="1" applyFont="1" applyAlignment="1" applyProtection="1" quotePrefix="1">
      <alignment horizontal="center"/>
      <protection locked="0"/>
    </xf>
    <xf numFmtId="0" fontId="3" fillId="0" borderId="24" xfId="0" applyFont="1" applyBorder="1" applyAlignment="1" applyProtection="1">
      <alignment horizontal="fill"/>
      <protection/>
    </xf>
    <xf numFmtId="0" fontId="3" fillId="0" borderId="25" xfId="0" applyFont="1" applyBorder="1" applyAlignment="1" applyProtection="1">
      <alignment horizontal="fill"/>
      <protection/>
    </xf>
    <xf numFmtId="3" fontId="4" fillId="0" borderId="0" xfId="0" applyNumberFormat="1" applyFont="1" applyAlignment="1" applyProtection="1" quotePrefix="1">
      <alignment horizontal="center"/>
      <protection locked="0"/>
    </xf>
    <xf numFmtId="3" fontId="4" fillId="0" borderId="0" xfId="0" applyNumberFormat="1" applyFont="1" applyAlignment="1" applyProtection="1">
      <alignment/>
      <protection locked="0"/>
    </xf>
    <xf numFmtId="167" fontId="3" fillId="0" borderId="19" xfId="0" applyNumberFormat="1" applyFont="1" applyBorder="1" applyAlignment="1">
      <alignment horizontal="right"/>
    </xf>
    <xf numFmtId="1" fontId="16" fillId="0" borderId="19" xfId="0" applyNumberFormat="1" applyFont="1" applyBorder="1" applyAlignment="1">
      <alignment horizontal="right"/>
    </xf>
    <xf numFmtId="0" fontId="3" fillId="0" borderId="26" xfId="0" applyFont="1" applyBorder="1" applyAlignment="1" applyProtection="1">
      <alignment horizontal="fill"/>
      <protection/>
    </xf>
    <xf numFmtId="0" fontId="3" fillId="0" borderId="27" xfId="0" applyFont="1" applyBorder="1" applyAlignment="1" applyProtection="1">
      <alignment horizontal="fill"/>
      <protection/>
    </xf>
    <xf numFmtId="168" fontId="4" fillId="0" borderId="0" xfId="0" applyNumberFormat="1" applyFont="1" applyAlignment="1" applyProtection="1" quotePrefix="1">
      <alignment horizontal="center"/>
      <protection locked="0"/>
    </xf>
    <xf numFmtId="0" fontId="3" fillId="0" borderId="0" xfId="0" applyFont="1" applyBorder="1" applyAlignment="1" applyProtection="1" quotePrefix="1">
      <alignment horizontal="left"/>
      <protection/>
    </xf>
    <xf numFmtId="0" fontId="3" fillId="0" borderId="0" xfId="0" applyFont="1" applyBorder="1" applyAlignment="1" applyProtection="1">
      <alignment horizontal="fill"/>
      <protection/>
    </xf>
    <xf numFmtId="167" fontId="3" fillId="0" borderId="0" xfId="0" applyNumberFormat="1" applyFont="1" applyAlignment="1" quotePrefix="1">
      <alignment horizontal="center"/>
    </xf>
    <xf numFmtId="0" fontId="3" fillId="0" borderId="0" xfId="0" applyFont="1" applyAlignment="1" quotePrefix="1">
      <alignment/>
    </xf>
    <xf numFmtId="0" fontId="3" fillId="0" borderId="0" xfId="0" applyFont="1" applyBorder="1" applyAlignment="1" applyProtection="1">
      <alignment horizontal="left"/>
      <protection/>
    </xf>
    <xf numFmtId="169" fontId="3" fillId="0" borderId="0" xfId="0" applyNumberFormat="1" applyFont="1" applyAlignment="1" applyProtection="1" quotePrefix="1">
      <alignment/>
      <protection/>
    </xf>
    <xf numFmtId="165" fontId="3" fillId="0" borderId="0" xfId="0" applyNumberFormat="1" applyFont="1" applyBorder="1" applyAlignment="1" applyProtection="1">
      <alignment horizontal="fill"/>
      <protection/>
    </xf>
    <xf numFmtId="169" fontId="4" fillId="0" borderId="0" xfId="0" applyNumberFormat="1" applyFont="1" applyAlignment="1" applyProtection="1" quotePrefix="1">
      <alignment/>
      <protection locked="0"/>
    </xf>
    <xf numFmtId="0" fontId="6" fillId="33" borderId="28" xfId="0" applyFont="1" applyFill="1" applyBorder="1" applyAlignment="1">
      <alignment horizontal="justify" vertical="top" wrapText="1"/>
    </xf>
    <xf numFmtId="0" fontId="7" fillId="33" borderId="29" xfId="0" applyFont="1" applyFill="1" applyBorder="1" applyAlignment="1">
      <alignment horizontal="justify" vertical="top" wrapText="1"/>
    </xf>
    <xf numFmtId="0" fontId="7" fillId="33" borderId="30" xfId="0" applyFont="1" applyFill="1" applyBorder="1" applyAlignment="1">
      <alignment horizontal="justify" vertical="top" wrapText="1"/>
    </xf>
    <xf numFmtId="0" fontId="3" fillId="0" borderId="18" xfId="0" applyFont="1" applyBorder="1" applyAlignment="1">
      <alignment wrapText="1"/>
    </xf>
    <xf numFmtId="0" fontId="1" fillId="0" borderId="0" xfId="0" applyFont="1" applyAlignment="1">
      <alignment wrapText="1"/>
    </xf>
    <xf numFmtId="0" fontId="1" fillId="0" borderId="19" xfId="0" applyFont="1" applyBorder="1" applyAlignment="1">
      <alignment wrapText="1"/>
    </xf>
    <xf numFmtId="0" fontId="3" fillId="0" borderId="18" xfId="0" applyFont="1" applyBorder="1" applyAlignment="1">
      <alignment wrapText="1" shrinkToFit="1"/>
    </xf>
    <xf numFmtId="0" fontId="1" fillId="0" borderId="0" xfId="0" applyFont="1" applyAlignment="1">
      <alignment wrapText="1" shrinkToFit="1"/>
    </xf>
    <xf numFmtId="0" fontId="1" fillId="0" borderId="19" xfId="0" applyFont="1" applyBorder="1" applyAlignment="1">
      <alignment wrapText="1" shrinkToFit="1"/>
    </xf>
    <xf numFmtId="0" fontId="0" fillId="0" borderId="29" xfId="0" applyBorder="1" applyAlignment="1">
      <alignment horizontal="justify" vertical="top" wrapText="1"/>
    </xf>
    <xf numFmtId="0" fontId="0" fillId="0" borderId="30" xfId="0" applyBorder="1" applyAlignment="1">
      <alignment horizontal="justify" vertical="top" wrapText="1"/>
    </xf>
    <xf numFmtId="0" fontId="8" fillId="33" borderId="28" xfId="0" applyFont="1" applyFill="1" applyBorder="1" applyAlignment="1">
      <alignment horizontal="center" vertical="top"/>
    </xf>
    <xf numFmtId="0" fontId="0" fillId="0" borderId="30" xfId="0" applyBorder="1" applyAlignment="1">
      <alignment horizontal="center" vertical="top"/>
    </xf>
    <xf numFmtId="0" fontId="8" fillId="33" borderId="18" xfId="0" applyFont="1" applyFill="1" applyBorder="1" applyAlignment="1">
      <alignment horizontal="center"/>
    </xf>
    <xf numFmtId="0" fontId="1" fillId="33" borderId="0" xfId="0" applyFont="1" applyFill="1" applyBorder="1" applyAlignment="1">
      <alignment horizontal="center"/>
    </xf>
    <xf numFmtId="0" fontId="1" fillId="33" borderId="19" xfId="0" applyFont="1" applyFill="1" applyBorder="1" applyAlignment="1">
      <alignment horizontal="center"/>
    </xf>
    <xf numFmtId="0" fontId="3" fillId="0" borderId="21" xfId="0" applyFont="1" applyBorder="1" applyAlignment="1">
      <alignment wrapText="1"/>
    </xf>
    <xf numFmtId="0" fontId="1" fillId="0" borderId="12" xfId="0" applyFont="1" applyBorder="1" applyAlignment="1">
      <alignment wrapText="1"/>
    </xf>
    <xf numFmtId="0" fontId="1" fillId="0" borderId="22" xfId="0" applyFont="1" applyBorder="1" applyAlignment="1">
      <alignment wrapText="1"/>
    </xf>
    <xf numFmtId="0" fontId="10" fillId="0" borderId="18" xfId="0" applyFont="1" applyBorder="1" applyAlignment="1">
      <alignment wrapText="1"/>
    </xf>
    <xf numFmtId="0" fontId="0" fillId="0" borderId="0" xfId="0" applyAlignment="1">
      <alignment wrapText="1"/>
    </xf>
    <xf numFmtId="0" fontId="0" fillId="0" borderId="19" xfId="0"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ER180"/>
  <sheetViews>
    <sheetView zoomScalePageLayoutView="0" workbookViewId="0" topLeftCell="A1">
      <pane xSplit="1" ySplit="15" topLeftCell="B76" activePane="bottomRight" state="frozen"/>
      <selection pane="topLeft" activeCell="A1" sqref="A1"/>
      <selection pane="topRight" activeCell="B1" sqref="B1"/>
      <selection pane="bottomLeft" activeCell="A16" sqref="A16"/>
      <selection pane="bottomRight" activeCell="B99" sqref="B99"/>
    </sheetView>
  </sheetViews>
  <sheetFormatPr defaultColWidth="9.625" defaultRowHeight="12.75"/>
  <cols>
    <col min="1" max="1" width="14.625" style="2" customWidth="1"/>
    <col min="2" max="66" width="9.625" style="2" customWidth="1"/>
    <col min="67" max="67" width="0.6171875" style="2" customWidth="1"/>
    <col min="68" max="101" width="9.625" style="2" customWidth="1"/>
    <col min="102" max="16384" width="9.625" style="2" customWidth="1"/>
  </cols>
  <sheetData>
    <row r="1" ht="12">
      <c r="A1" s="1" t="s">
        <v>296</v>
      </c>
    </row>
    <row r="2" ht="12">
      <c r="A2" s="1" t="s">
        <v>0</v>
      </c>
    </row>
    <row r="3" ht="12">
      <c r="A3" s="3" t="s">
        <v>302</v>
      </c>
    </row>
    <row r="4" ht="12.75" thickBot="1">
      <c r="A4" s="1"/>
    </row>
    <row r="5" spans="1:148" ht="12.75" thickTop="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row>
    <row r="6" spans="2:148" ht="12">
      <c r="B6" s="19" t="s">
        <v>2</v>
      </c>
      <c r="BG6" s="19"/>
      <c r="BM6" s="19" t="s">
        <v>2</v>
      </c>
      <c r="BP6" s="19" t="s">
        <v>3</v>
      </c>
      <c r="EG6" s="19"/>
      <c r="ER6" s="19" t="s">
        <v>3</v>
      </c>
    </row>
    <row r="7" spans="2:148" ht="12">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9"/>
      <c r="BN7" s="29"/>
      <c r="BO7" s="1"/>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row>
    <row r="8" spans="22:138" ht="12">
      <c r="V8" s="1" t="s">
        <v>7</v>
      </c>
      <c r="AT8" s="1" t="s">
        <v>102</v>
      </c>
      <c r="CO8" s="1" t="s">
        <v>7</v>
      </c>
      <c r="DS8" s="1" t="s">
        <v>102</v>
      </c>
      <c r="EH8" s="1"/>
    </row>
    <row r="9" spans="2:147" ht="12">
      <c r="B9" s="1" t="s">
        <v>5</v>
      </c>
      <c r="J9" s="1" t="s">
        <v>6</v>
      </c>
      <c r="V9" s="5" t="s">
        <v>1</v>
      </c>
      <c r="W9" s="5" t="s">
        <v>1</v>
      </c>
      <c r="X9" s="5" t="s">
        <v>1</v>
      </c>
      <c r="Y9" s="5" t="s">
        <v>1</v>
      </c>
      <c r="Z9" s="5" t="s">
        <v>1</v>
      </c>
      <c r="AA9" s="5" t="s">
        <v>1</v>
      </c>
      <c r="AB9" s="5" t="s">
        <v>1</v>
      </c>
      <c r="AC9" s="1" t="s">
        <v>4</v>
      </c>
      <c r="AD9" s="1" t="s">
        <v>196</v>
      </c>
      <c r="AL9" s="1" t="s">
        <v>197</v>
      </c>
      <c r="AT9" s="5" t="s">
        <v>1</v>
      </c>
      <c r="AU9" s="5" t="s">
        <v>1</v>
      </c>
      <c r="AV9" s="5" t="s">
        <v>1</v>
      </c>
      <c r="AW9" s="5" t="s">
        <v>1</v>
      </c>
      <c r="AX9" s="5" t="s">
        <v>1</v>
      </c>
      <c r="AY9" s="5" t="s">
        <v>1</v>
      </c>
      <c r="AZ9" s="5" t="s">
        <v>1</v>
      </c>
      <c r="BA9" s="5" t="s">
        <v>1</v>
      </c>
      <c r="BB9" s="5" t="s">
        <v>1</v>
      </c>
      <c r="BC9" s="5" t="s">
        <v>1</v>
      </c>
      <c r="BD9" s="5" t="s">
        <v>1</v>
      </c>
      <c r="BE9" s="5" t="s">
        <v>1</v>
      </c>
      <c r="BF9" s="5" t="s">
        <v>1</v>
      </c>
      <c r="BG9" s="5" t="s">
        <v>1</v>
      </c>
      <c r="BH9" s="1" t="s">
        <v>4</v>
      </c>
      <c r="BI9" s="1"/>
      <c r="BJ9" s="1"/>
      <c r="BK9" s="1"/>
      <c r="BL9" s="1"/>
      <c r="BM9" s="1"/>
      <c r="BN9" s="1"/>
      <c r="BO9" s="1"/>
      <c r="BP9" s="1" t="s">
        <v>5</v>
      </c>
      <c r="BZ9" s="1" t="s">
        <v>6</v>
      </c>
      <c r="CO9" s="5" t="s">
        <v>1</v>
      </c>
      <c r="CP9" s="5" t="s">
        <v>1</v>
      </c>
      <c r="CQ9" s="5" t="s">
        <v>1</v>
      </c>
      <c r="CR9" s="5" t="s">
        <v>1</v>
      </c>
      <c r="CS9" s="5" t="s">
        <v>1</v>
      </c>
      <c r="CT9" s="5" t="s">
        <v>1</v>
      </c>
      <c r="CU9" s="5" t="s">
        <v>1</v>
      </c>
      <c r="CV9" s="1" t="s">
        <v>4</v>
      </c>
      <c r="CY9" s="1" t="s">
        <v>196</v>
      </c>
      <c r="DI9" s="1" t="s">
        <v>197</v>
      </c>
      <c r="DS9" s="5" t="s">
        <v>1</v>
      </c>
      <c r="DT9" s="5" t="s">
        <v>1</v>
      </c>
      <c r="DU9" s="5" t="s">
        <v>1</v>
      </c>
      <c r="DV9" s="5" t="s">
        <v>1</v>
      </c>
      <c r="DW9" s="5" t="s">
        <v>1</v>
      </c>
      <c r="DX9" s="5" t="s">
        <v>1</v>
      </c>
      <c r="DY9" s="5" t="s">
        <v>1</v>
      </c>
      <c r="DZ9" s="5" t="s">
        <v>1</v>
      </c>
      <c r="EA9" s="5" t="s">
        <v>1</v>
      </c>
      <c r="EB9" s="5" t="s">
        <v>1</v>
      </c>
      <c r="EC9" s="5" t="s">
        <v>1</v>
      </c>
      <c r="ED9" s="5" t="s">
        <v>1</v>
      </c>
      <c r="EE9" s="5" t="s">
        <v>1</v>
      </c>
      <c r="EF9" s="5" t="s">
        <v>1</v>
      </c>
      <c r="EG9" s="5" t="s">
        <v>1</v>
      </c>
      <c r="EH9" s="5" t="s">
        <v>1</v>
      </c>
      <c r="EI9" s="5" t="s">
        <v>1</v>
      </c>
      <c r="EJ9" s="5" t="s">
        <v>1</v>
      </c>
      <c r="EK9" s="5" t="s">
        <v>1</v>
      </c>
      <c r="EL9" s="5" t="s">
        <v>1</v>
      </c>
      <c r="EM9" s="5" t="s">
        <v>1</v>
      </c>
      <c r="EN9" s="5" t="s">
        <v>1</v>
      </c>
      <c r="EO9" s="5" t="s">
        <v>1</v>
      </c>
      <c r="EP9" s="5" t="s">
        <v>1</v>
      </c>
      <c r="EQ9" s="5" t="s">
        <v>1</v>
      </c>
    </row>
    <row r="10" spans="2:122" ht="12">
      <c r="B10" s="5" t="s">
        <v>1</v>
      </c>
      <c r="C10" s="5" t="s">
        <v>1</v>
      </c>
      <c r="D10" s="5" t="s">
        <v>1</v>
      </c>
      <c r="E10" s="5" t="s">
        <v>1</v>
      </c>
      <c r="F10" s="5" t="s">
        <v>1</v>
      </c>
      <c r="G10" s="5" t="s">
        <v>1</v>
      </c>
      <c r="H10" s="5" t="s">
        <v>1</v>
      </c>
      <c r="I10" s="1" t="s">
        <v>4</v>
      </c>
      <c r="J10" s="5" t="s">
        <v>1</v>
      </c>
      <c r="K10" s="5" t="s">
        <v>1</v>
      </c>
      <c r="L10" s="5" t="s">
        <v>1</v>
      </c>
      <c r="M10" s="5" t="s">
        <v>1</v>
      </c>
      <c r="N10" s="5" t="s">
        <v>1</v>
      </c>
      <c r="O10" s="5" t="s">
        <v>1</v>
      </c>
      <c r="P10" s="5" t="s">
        <v>1</v>
      </c>
      <c r="Q10" s="5" t="s">
        <v>1</v>
      </c>
      <c r="R10" s="5" t="s">
        <v>1</v>
      </c>
      <c r="S10" s="5" t="s">
        <v>1</v>
      </c>
      <c r="T10" s="5" t="s">
        <v>1</v>
      </c>
      <c r="U10" s="1" t="s">
        <v>4</v>
      </c>
      <c r="V10" s="1" t="s">
        <v>14</v>
      </c>
      <c r="X10" s="1" t="s">
        <v>11</v>
      </c>
      <c r="Z10" s="1" t="s">
        <v>12</v>
      </c>
      <c r="AB10" s="1" t="s">
        <v>13</v>
      </c>
      <c r="AD10" s="5" t="s">
        <v>1</v>
      </c>
      <c r="AE10" s="5" t="s">
        <v>1</v>
      </c>
      <c r="AF10" s="5" t="s">
        <v>1</v>
      </c>
      <c r="AG10" s="5" t="s">
        <v>1</v>
      </c>
      <c r="AH10" s="5" t="s">
        <v>1</v>
      </c>
      <c r="AI10" s="5" t="s">
        <v>1</v>
      </c>
      <c r="AJ10" s="5" t="s">
        <v>1</v>
      </c>
      <c r="AK10" s="1" t="s">
        <v>4</v>
      </c>
      <c r="AL10" s="5" t="s">
        <v>1</v>
      </c>
      <c r="AM10" s="5" t="s">
        <v>1</v>
      </c>
      <c r="AN10" s="5" t="s">
        <v>1</v>
      </c>
      <c r="AO10" s="5" t="s">
        <v>1</v>
      </c>
      <c r="AP10" s="5" t="s">
        <v>1</v>
      </c>
      <c r="AQ10" s="5" t="s">
        <v>1</v>
      </c>
      <c r="AR10" s="5" t="s">
        <v>1</v>
      </c>
      <c r="AS10" s="1" t="s">
        <v>4</v>
      </c>
      <c r="BP10" s="5" t="s">
        <v>1</v>
      </c>
      <c r="BQ10" s="5" t="s">
        <v>1</v>
      </c>
      <c r="BR10" s="5" t="s">
        <v>1</v>
      </c>
      <c r="BS10" s="5" t="s">
        <v>1</v>
      </c>
      <c r="BT10" s="5" t="s">
        <v>1</v>
      </c>
      <c r="BU10" s="5" t="s">
        <v>1</v>
      </c>
      <c r="BV10" s="5" t="s">
        <v>1</v>
      </c>
      <c r="BW10" s="5" t="s">
        <v>1</v>
      </c>
      <c r="BX10" s="5" t="s">
        <v>1</v>
      </c>
      <c r="BY10" s="1" t="s">
        <v>4</v>
      </c>
      <c r="BZ10" s="5" t="s">
        <v>1</v>
      </c>
      <c r="CA10" s="5" t="s">
        <v>1</v>
      </c>
      <c r="CB10" s="5" t="s">
        <v>1</v>
      </c>
      <c r="CC10" s="5" t="s">
        <v>1</v>
      </c>
      <c r="CD10" s="5" t="s">
        <v>1</v>
      </c>
      <c r="CE10" s="5" t="s">
        <v>1</v>
      </c>
      <c r="CF10" s="5" t="s">
        <v>1</v>
      </c>
      <c r="CG10" s="5" t="s">
        <v>1</v>
      </c>
      <c r="CH10" s="5" t="s">
        <v>1</v>
      </c>
      <c r="CI10" s="5" t="s">
        <v>1</v>
      </c>
      <c r="CJ10" s="5" t="s">
        <v>1</v>
      </c>
      <c r="CK10" s="5" t="s">
        <v>1</v>
      </c>
      <c r="CL10" s="5" t="s">
        <v>1</v>
      </c>
      <c r="CM10" s="5" t="s">
        <v>1</v>
      </c>
      <c r="CN10" s="1" t="s">
        <v>4</v>
      </c>
      <c r="CO10" s="1" t="s">
        <v>14</v>
      </c>
      <c r="CQ10" s="1" t="s">
        <v>11</v>
      </c>
      <c r="CS10" s="1" t="s">
        <v>12</v>
      </c>
      <c r="CU10" s="1" t="s">
        <v>293</v>
      </c>
      <c r="CW10" s="5" t="s">
        <v>1</v>
      </c>
      <c r="CX10" s="5" t="s">
        <v>1</v>
      </c>
      <c r="CY10" s="5" t="s">
        <v>1</v>
      </c>
      <c r="CZ10" s="5" t="s">
        <v>1</v>
      </c>
      <c r="DA10" s="5" t="s">
        <v>1</v>
      </c>
      <c r="DB10" s="5" t="s">
        <v>1</v>
      </c>
      <c r="DC10" s="5" t="s">
        <v>1</v>
      </c>
      <c r="DD10" s="5" t="s">
        <v>1</v>
      </c>
      <c r="DE10" s="5" t="s">
        <v>1</v>
      </c>
      <c r="DF10" s="5" t="s">
        <v>1</v>
      </c>
      <c r="DG10" s="5" t="s">
        <v>1</v>
      </c>
      <c r="DH10" s="1" t="s">
        <v>4</v>
      </c>
      <c r="DI10" s="5" t="s">
        <v>1</v>
      </c>
      <c r="DJ10" s="5" t="s">
        <v>1</v>
      </c>
      <c r="DK10" s="5" t="s">
        <v>1</v>
      </c>
      <c r="DL10" s="5" t="s">
        <v>1</v>
      </c>
      <c r="DM10" s="5" t="s">
        <v>1</v>
      </c>
      <c r="DN10" s="5" t="s">
        <v>1</v>
      </c>
      <c r="DO10" s="5" t="s">
        <v>1</v>
      </c>
      <c r="DP10" s="1" t="s">
        <v>4</v>
      </c>
      <c r="DQ10" s="5" t="s">
        <v>1</v>
      </c>
      <c r="DR10" s="1" t="s">
        <v>4</v>
      </c>
    </row>
    <row r="11" spans="4:143" ht="12">
      <c r="D11" s="1" t="s">
        <v>8</v>
      </c>
      <c r="F11" s="1" t="s">
        <v>9</v>
      </c>
      <c r="H11" s="1" t="s">
        <v>10</v>
      </c>
      <c r="M11" s="1" t="s">
        <v>8</v>
      </c>
      <c r="P11" s="1" t="s">
        <v>9</v>
      </c>
      <c r="S11" s="1" t="s">
        <v>10</v>
      </c>
      <c r="V11" s="5" t="s">
        <v>1</v>
      </c>
      <c r="W11" s="1" t="s">
        <v>4</v>
      </c>
      <c r="X11" s="5" t="s">
        <v>1</v>
      </c>
      <c r="Y11" s="1" t="s">
        <v>4</v>
      </c>
      <c r="Z11" s="5" t="s">
        <v>1</v>
      </c>
      <c r="AA11" s="1" t="s">
        <v>4</v>
      </c>
      <c r="AB11" s="5" t="s">
        <v>1</v>
      </c>
      <c r="AC11" s="1" t="s">
        <v>4</v>
      </c>
      <c r="AF11" s="1" t="s">
        <v>8</v>
      </c>
      <c r="AH11" s="1" t="s">
        <v>9</v>
      </c>
      <c r="AJ11" s="1" t="s">
        <v>10</v>
      </c>
      <c r="AN11" s="1" t="s">
        <v>8</v>
      </c>
      <c r="AP11" s="1" t="s">
        <v>9</v>
      </c>
      <c r="AR11" s="1" t="s">
        <v>10</v>
      </c>
      <c r="AT11" s="1" t="s">
        <v>11</v>
      </c>
      <c r="AY11" s="1" t="s">
        <v>12</v>
      </c>
      <c r="BD11" s="1" t="s">
        <v>13</v>
      </c>
      <c r="BI11" s="1" t="s">
        <v>58</v>
      </c>
      <c r="BR11" s="1" t="s">
        <v>8</v>
      </c>
      <c r="BT11" s="1" t="s">
        <v>9</v>
      </c>
      <c r="BV11" s="1" t="s">
        <v>290</v>
      </c>
      <c r="BX11" s="2" t="s">
        <v>56</v>
      </c>
      <c r="CC11" s="1" t="s">
        <v>8</v>
      </c>
      <c r="CF11" s="1" t="s">
        <v>9</v>
      </c>
      <c r="CI11" s="1" t="s">
        <v>290</v>
      </c>
      <c r="CL11" s="2" t="s">
        <v>56</v>
      </c>
      <c r="CO11" s="5" t="s">
        <v>1</v>
      </c>
      <c r="CP11" s="1" t="s">
        <v>4</v>
      </c>
      <c r="CQ11" s="5" t="s">
        <v>1</v>
      </c>
      <c r="CR11" s="1" t="s">
        <v>4</v>
      </c>
      <c r="CS11" s="5" t="s">
        <v>1</v>
      </c>
      <c r="CT11" s="1" t="s">
        <v>4</v>
      </c>
      <c r="CU11" s="5" t="s">
        <v>1</v>
      </c>
      <c r="CV11" s="1" t="s">
        <v>4</v>
      </c>
      <c r="CW11" s="2" t="s">
        <v>56</v>
      </c>
      <c r="DA11" s="1" t="s">
        <v>8</v>
      </c>
      <c r="DC11" s="1" t="s">
        <v>9</v>
      </c>
      <c r="DE11" s="1" t="s">
        <v>290</v>
      </c>
      <c r="DG11" s="2" t="s">
        <v>56</v>
      </c>
      <c r="DK11" s="1" t="s">
        <v>8</v>
      </c>
      <c r="DM11" s="1" t="s">
        <v>9</v>
      </c>
      <c r="DO11" s="1" t="s">
        <v>290</v>
      </c>
      <c r="DQ11" s="2" t="s">
        <v>56</v>
      </c>
      <c r="DS11" s="1" t="s">
        <v>11</v>
      </c>
      <c r="DX11" s="1" t="s">
        <v>12</v>
      </c>
      <c r="EC11" s="1" t="s">
        <v>291</v>
      </c>
      <c r="EH11" s="1" t="s">
        <v>58</v>
      </c>
      <c r="EM11" s="1" t="s">
        <v>60</v>
      </c>
    </row>
    <row r="12" spans="2:148" ht="12">
      <c r="B12" s="1" t="s">
        <v>14</v>
      </c>
      <c r="D12" s="1" t="s">
        <v>15</v>
      </c>
      <c r="F12" s="1" t="s">
        <v>15</v>
      </c>
      <c r="H12" s="1" t="s">
        <v>15</v>
      </c>
      <c r="J12" s="1" t="s">
        <v>14</v>
      </c>
      <c r="M12" s="1" t="s">
        <v>15</v>
      </c>
      <c r="P12" s="1" t="s">
        <v>15</v>
      </c>
      <c r="S12" s="1" t="s">
        <v>15</v>
      </c>
      <c r="V12" s="1" t="s">
        <v>18</v>
      </c>
      <c r="X12" s="1" t="s">
        <v>18</v>
      </c>
      <c r="Z12" s="1" t="s">
        <v>18</v>
      </c>
      <c r="AB12" s="1" t="s">
        <v>18</v>
      </c>
      <c r="AD12" s="1" t="s">
        <v>14</v>
      </c>
      <c r="AF12" s="1" t="s">
        <v>15</v>
      </c>
      <c r="AH12" s="1" t="s">
        <v>15</v>
      </c>
      <c r="AJ12" s="1" t="s">
        <v>15</v>
      </c>
      <c r="AL12" s="1" t="s">
        <v>14</v>
      </c>
      <c r="AN12" s="1" t="s">
        <v>15</v>
      </c>
      <c r="AP12" s="1" t="s">
        <v>15</v>
      </c>
      <c r="AR12" s="1" t="s">
        <v>15</v>
      </c>
      <c r="AT12" s="5" t="s">
        <v>1</v>
      </c>
      <c r="AU12" s="5" t="s">
        <v>1</v>
      </c>
      <c r="AV12" s="5" t="s">
        <v>1</v>
      </c>
      <c r="AW12" s="5" t="s">
        <v>1</v>
      </c>
      <c r="AX12" s="1" t="s">
        <v>4</v>
      </c>
      <c r="AY12" s="5" t="s">
        <v>1</v>
      </c>
      <c r="AZ12" s="5" t="s">
        <v>1</v>
      </c>
      <c r="BA12" s="5" t="s">
        <v>1</v>
      </c>
      <c r="BB12" s="5" t="s">
        <v>1</v>
      </c>
      <c r="BC12" s="1" t="s">
        <v>4</v>
      </c>
      <c r="BD12" s="5" t="s">
        <v>1</v>
      </c>
      <c r="BE12" s="5" t="s">
        <v>1</v>
      </c>
      <c r="BF12" s="5" t="s">
        <v>1</v>
      </c>
      <c r="BG12" s="5" t="s">
        <v>1</v>
      </c>
      <c r="BH12" s="1" t="s">
        <v>4</v>
      </c>
      <c r="BI12" s="5" t="s">
        <v>1</v>
      </c>
      <c r="BJ12" s="5" t="s">
        <v>1</v>
      </c>
      <c r="BK12" s="5" t="s">
        <v>1</v>
      </c>
      <c r="BL12" s="5" t="s">
        <v>1</v>
      </c>
      <c r="BM12" s="1" t="s">
        <v>4</v>
      </c>
      <c r="BN12" s="2" t="s">
        <v>98</v>
      </c>
      <c r="BO12" s="1"/>
      <c r="BP12" s="1" t="s">
        <v>14</v>
      </c>
      <c r="BR12" s="1" t="s">
        <v>15</v>
      </c>
      <c r="BT12" s="1" t="s">
        <v>15</v>
      </c>
      <c r="BV12" s="106" t="s">
        <v>270</v>
      </c>
      <c r="BX12" s="2" t="s">
        <v>59</v>
      </c>
      <c r="BZ12" s="1" t="s">
        <v>14</v>
      </c>
      <c r="CC12" s="1" t="s">
        <v>15</v>
      </c>
      <c r="CF12" s="1" t="s">
        <v>15</v>
      </c>
      <c r="CI12" s="106" t="s">
        <v>270</v>
      </c>
      <c r="CL12" s="2" t="s">
        <v>59</v>
      </c>
      <c r="CO12" s="1" t="s">
        <v>18</v>
      </c>
      <c r="CQ12" s="1" t="s">
        <v>18</v>
      </c>
      <c r="CS12" s="1" t="s">
        <v>18</v>
      </c>
      <c r="CU12" s="1" t="s">
        <v>18</v>
      </c>
      <c r="CW12" s="2" t="s">
        <v>59</v>
      </c>
      <c r="CY12" s="1" t="s">
        <v>14</v>
      </c>
      <c r="DA12" s="1" t="s">
        <v>15</v>
      </c>
      <c r="DC12" s="1" t="s">
        <v>15</v>
      </c>
      <c r="DE12" s="106" t="s">
        <v>270</v>
      </c>
      <c r="DG12" s="2" t="s">
        <v>59</v>
      </c>
      <c r="DI12" s="1" t="s">
        <v>14</v>
      </c>
      <c r="DK12" s="1" t="s">
        <v>15</v>
      </c>
      <c r="DM12" s="1" t="s">
        <v>15</v>
      </c>
      <c r="DO12" s="106" t="s">
        <v>270</v>
      </c>
      <c r="DQ12" s="2" t="s">
        <v>59</v>
      </c>
      <c r="DS12" s="5" t="s">
        <v>1</v>
      </c>
      <c r="DT12" s="5" t="s">
        <v>1</v>
      </c>
      <c r="DU12" s="5" t="s">
        <v>1</v>
      </c>
      <c r="DV12" s="5" t="s">
        <v>1</v>
      </c>
      <c r="DW12" s="1" t="s">
        <v>4</v>
      </c>
      <c r="DX12" s="5" t="s">
        <v>1</v>
      </c>
      <c r="DY12" s="5" t="s">
        <v>1</v>
      </c>
      <c r="DZ12" s="5" t="s">
        <v>1</v>
      </c>
      <c r="EA12" s="5" t="s">
        <v>1</v>
      </c>
      <c r="EB12" s="1" t="s">
        <v>4</v>
      </c>
      <c r="EC12" s="5" t="s">
        <v>1</v>
      </c>
      <c r="ED12" s="5" t="s">
        <v>1</v>
      </c>
      <c r="EE12" s="5" t="s">
        <v>1</v>
      </c>
      <c r="EF12" s="5" t="s">
        <v>1</v>
      </c>
      <c r="EG12" s="1" t="s">
        <v>4</v>
      </c>
      <c r="EH12" s="5" t="s">
        <v>1</v>
      </c>
      <c r="EI12" s="5" t="s">
        <v>1</v>
      </c>
      <c r="EJ12" s="5" t="s">
        <v>1</v>
      </c>
      <c r="EK12" s="5" t="s">
        <v>1</v>
      </c>
      <c r="EL12" s="1" t="s">
        <v>4</v>
      </c>
      <c r="EM12" s="5" t="s">
        <v>1</v>
      </c>
      <c r="EN12" s="5" t="s">
        <v>1</v>
      </c>
      <c r="EO12" s="5" t="s">
        <v>1</v>
      </c>
      <c r="EP12" s="5" t="s">
        <v>1</v>
      </c>
      <c r="EQ12" s="1" t="s">
        <v>4</v>
      </c>
      <c r="ER12" s="2" t="s">
        <v>98</v>
      </c>
    </row>
    <row r="13" spans="2:148" ht="12">
      <c r="B13" s="5" t="s">
        <v>1</v>
      </c>
      <c r="C13" s="1" t="s">
        <v>4</v>
      </c>
      <c r="D13" s="5" t="s">
        <v>1</v>
      </c>
      <c r="E13" s="1" t="s">
        <v>4</v>
      </c>
      <c r="F13" s="5" t="s">
        <v>1</v>
      </c>
      <c r="G13" s="1" t="s">
        <v>4</v>
      </c>
      <c r="H13" s="5" t="s">
        <v>1</v>
      </c>
      <c r="I13" s="1" t="s">
        <v>4</v>
      </c>
      <c r="J13" s="5" t="s">
        <v>1</v>
      </c>
      <c r="K13" s="5" t="s">
        <v>1</v>
      </c>
      <c r="L13" s="1" t="s">
        <v>4</v>
      </c>
      <c r="M13" s="5" t="s">
        <v>1</v>
      </c>
      <c r="N13" s="5" t="s">
        <v>1</v>
      </c>
      <c r="O13" s="1" t="s">
        <v>4</v>
      </c>
      <c r="P13" s="5" t="s">
        <v>1</v>
      </c>
      <c r="Q13" s="5" t="s">
        <v>1</v>
      </c>
      <c r="R13" s="1" t="s">
        <v>4</v>
      </c>
      <c r="S13" s="5" t="s">
        <v>1</v>
      </c>
      <c r="T13" s="5" t="s">
        <v>1</v>
      </c>
      <c r="U13" s="1" t="s">
        <v>4</v>
      </c>
      <c r="V13" s="2" t="s">
        <v>200</v>
      </c>
      <c r="X13" s="2" t="s">
        <v>200</v>
      </c>
      <c r="Z13" s="2" t="s">
        <v>200</v>
      </c>
      <c r="AB13" s="2" t="s">
        <v>62</v>
      </c>
      <c r="AD13" s="5" t="s">
        <v>1</v>
      </c>
      <c r="AE13" s="1" t="s">
        <v>4</v>
      </c>
      <c r="AF13" s="5" t="s">
        <v>1</v>
      </c>
      <c r="AG13" s="1" t="s">
        <v>4</v>
      </c>
      <c r="AH13" s="5" t="s">
        <v>1</v>
      </c>
      <c r="AI13" s="1" t="s">
        <v>4</v>
      </c>
      <c r="AJ13" s="5" t="s">
        <v>1</v>
      </c>
      <c r="AK13" s="1" t="s">
        <v>4</v>
      </c>
      <c r="AL13" s="5" t="s">
        <v>1</v>
      </c>
      <c r="AM13" s="1" t="s">
        <v>4</v>
      </c>
      <c r="AN13" s="5" t="s">
        <v>1</v>
      </c>
      <c r="AO13" s="1" t="s">
        <v>4</v>
      </c>
      <c r="AP13" s="5" t="s">
        <v>1</v>
      </c>
      <c r="AQ13" s="1" t="s">
        <v>4</v>
      </c>
      <c r="AR13" s="5" t="s">
        <v>1</v>
      </c>
      <c r="AS13" s="1" t="s">
        <v>4</v>
      </c>
      <c r="AX13" s="1" t="s">
        <v>16</v>
      </c>
      <c r="BC13" s="1" t="s">
        <v>16</v>
      </c>
      <c r="BH13" s="1" t="s">
        <v>16</v>
      </c>
      <c r="BM13" s="1" t="s">
        <v>16</v>
      </c>
      <c r="BN13" s="1" t="s">
        <v>99</v>
      </c>
      <c r="BO13" s="1"/>
      <c r="BP13" s="5" t="s">
        <v>1</v>
      </c>
      <c r="BQ13" s="1" t="s">
        <v>4</v>
      </c>
      <c r="BR13" s="5" t="s">
        <v>1</v>
      </c>
      <c r="BS13" s="1" t="s">
        <v>4</v>
      </c>
      <c r="BT13" s="5" t="s">
        <v>1</v>
      </c>
      <c r="BU13" s="1" t="s">
        <v>4</v>
      </c>
      <c r="BV13" s="5" t="s">
        <v>1</v>
      </c>
      <c r="BW13" s="1" t="s">
        <v>4</v>
      </c>
      <c r="BX13" s="5" t="s">
        <v>1</v>
      </c>
      <c r="BY13" s="1" t="s">
        <v>4</v>
      </c>
      <c r="BZ13" s="5" t="s">
        <v>1</v>
      </c>
      <c r="CA13" s="5" t="s">
        <v>1</v>
      </c>
      <c r="CB13" s="1" t="s">
        <v>4</v>
      </c>
      <c r="CC13" s="5" t="s">
        <v>1</v>
      </c>
      <c r="CD13" s="5" t="s">
        <v>1</v>
      </c>
      <c r="CE13" s="1" t="s">
        <v>4</v>
      </c>
      <c r="CF13" s="5" t="s">
        <v>1</v>
      </c>
      <c r="CG13" s="5" t="s">
        <v>1</v>
      </c>
      <c r="CH13" s="1" t="s">
        <v>4</v>
      </c>
      <c r="CI13" s="5" t="s">
        <v>1</v>
      </c>
      <c r="CJ13" s="5" t="s">
        <v>1</v>
      </c>
      <c r="CK13" s="1" t="s">
        <v>4</v>
      </c>
      <c r="CL13" s="5" t="s">
        <v>1</v>
      </c>
      <c r="CM13" s="5" t="s">
        <v>1</v>
      </c>
      <c r="CN13" s="1" t="s">
        <v>4</v>
      </c>
      <c r="CO13" s="2" t="s">
        <v>200</v>
      </c>
      <c r="CQ13" s="2" t="s">
        <v>200</v>
      </c>
      <c r="CS13" s="2" t="s">
        <v>200</v>
      </c>
      <c r="CU13" s="2" t="s">
        <v>62</v>
      </c>
      <c r="CW13" s="5" t="s">
        <v>1</v>
      </c>
      <c r="CX13" s="1" t="s">
        <v>4</v>
      </c>
      <c r="CY13" s="5" t="s">
        <v>1</v>
      </c>
      <c r="CZ13" s="1" t="s">
        <v>4</v>
      </c>
      <c r="DA13" s="5" t="s">
        <v>1</v>
      </c>
      <c r="DB13" s="1" t="s">
        <v>4</v>
      </c>
      <c r="DC13" s="5" t="s">
        <v>1</v>
      </c>
      <c r="DD13" s="1" t="s">
        <v>4</v>
      </c>
      <c r="DE13" s="5" t="s">
        <v>1</v>
      </c>
      <c r="DF13" s="1" t="s">
        <v>4</v>
      </c>
      <c r="DG13" s="5" t="s">
        <v>1</v>
      </c>
      <c r="DH13" s="1" t="s">
        <v>4</v>
      </c>
      <c r="DI13" s="5" t="s">
        <v>1</v>
      </c>
      <c r="DJ13" s="1" t="s">
        <v>4</v>
      </c>
      <c r="DK13" s="5" t="s">
        <v>1</v>
      </c>
      <c r="DL13" s="1" t="s">
        <v>4</v>
      </c>
      <c r="DM13" s="5" t="s">
        <v>1</v>
      </c>
      <c r="DN13" s="1" t="s">
        <v>4</v>
      </c>
      <c r="DO13" s="5" t="s">
        <v>1</v>
      </c>
      <c r="DP13" s="1" t="s">
        <v>4</v>
      </c>
      <c r="DQ13" s="5" t="s">
        <v>1</v>
      </c>
      <c r="DR13" s="1" t="s">
        <v>4</v>
      </c>
      <c r="DW13" s="1" t="s">
        <v>16</v>
      </c>
      <c r="EB13" s="1" t="s">
        <v>16</v>
      </c>
      <c r="EG13" s="1" t="s">
        <v>16</v>
      </c>
      <c r="EL13" s="1" t="s">
        <v>16</v>
      </c>
      <c r="EQ13" s="1" t="s">
        <v>16</v>
      </c>
      <c r="ER13" s="1" t="s">
        <v>99</v>
      </c>
    </row>
    <row r="14" spans="1:148" ht="12">
      <c r="A14" s="1" t="s">
        <v>17</v>
      </c>
      <c r="B14" s="1" t="s">
        <v>18</v>
      </c>
      <c r="D14" s="1" t="s">
        <v>18</v>
      </c>
      <c r="F14" s="1" t="s">
        <v>18</v>
      </c>
      <c r="H14" s="1" t="s">
        <v>18</v>
      </c>
      <c r="J14" s="1" t="s">
        <v>18</v>
      </c>
      <c r="L14" s="6" t="s">
        <v>19</v>
      </c>
      <c r="M14" s="1" t="s">
        <v>18</v>
      </c>
      <c r="O14" s="6" t="s">
        <v>19</v>
      </c>
      <c r="P14" s="1" t="s">
        <v>18</v>
      </c>
      <c r="R14" s="6" t="s">
        <v>19</v>
      </c>
      <c r="S14" s="1" t="s">
        <v>18</v>
      </c>
      <c r="U14" s="6" t="s">
        <v>19</v>
      </c>
      <c r="V14" s="2" t="s">
        <v>63</v>
      </c>
      <c r="X14" s="2" t="s">
        <v>63</v>
      </c>
      <c r="Z14" s="2" t="s">
        <v>63</v>
      </c>
      <c r="AB14" s="2" t="s">
        <v>63</v>
      </c>
      <c r="AD14" s="1" t="s">
        <v>18</v>
      </c>
      <c r="AF14" s="1" t="s">
        <v>18</v>
      </c>
      <c r="AH14" s="1" t="s">
        <v>18</v>
      </c>
      <c r="AJ14" s="1" t="s">
        <v>18</v>
      </c>
      <c r="AL14" s="1" t="s">
        <v>18</v>
      </c>
      <c r="AN14" s="1" t="s">
        <v>18</v>
      </c>
      <c r="AP14" s="1" t="s">
        <v>18</v>
      </c>
      <c r="AR14" s="1" t="s">
        <v>18</v>
      </c>
      <c r="AT14" s="1" t="s">
        <v>20</v>
      </c>
      <c r="AV14" s="1" t="s">
        <v>21</v>
      </c>
      <c r="AX14" s="1" t="s">
        <v>22</v>
      </c>
      <c r="AY14" s="1" t="s">
        <v>20</v>
      </c>
      <c r="BA14" s="1" t="s">
        <v>21</v>
      </c>
      <c r="BC14" s="1" t="s">
        <v>22</v>
      </c>
      <c r="BD14" s="1" t="s">
        <v>20</v>
      </c>
      <c r="BF14" s="1" t="s">
        <v>21</v>
      </c>
      <c r="BH14" s="1" t="s">
        <v>22</v>
      </c>
      <c r="BI14" s="1" t="s">
        <v>20</v>
      </c>
      <c r="BK14" s="1" t="s">
        <v>21</v>
      </c>
      <c r="BM14" s="1" t="s">
        <v>22</v>
      </c>
      <c r="BN14" s="1" t="s">
        <v>100</v>
      </c>
      <c r="BO14" s="1"/>
      <c r="BP14" s="1" t="s">
        <v>18</v>
      </c>
      <c r="BR14" s="1" t="s">
        <v>18</v>
      </c>
      <c r="BT14" s="1" t="s">
        <v>18</v>
      </c>
      <c r="BV14" s="1" t="s">
        <v>18</v>
      </c>
      <c r="BX14" s="1" t="s">
        <v>18</v>
      </c>
      <c r="BZ14" s="1" t="s">
        <v>18</v>
      </c>
      <c r="CB14" s="6" t="s">
        <v>19</v>
      </c>
      <c r="CC14" s="1" t="s">
        <v>18</v>
      </c>
      <c r="CE14" s="6" t="s">
        <v>19</v>
      </c>
      <c r="CF14" s="1" t="s">
        <v>18</v>
      </c>
      <c r="CH14" s="6" t="s">
        <v>19</v>
      </c>
      <c r="CI14" s="1" t="s">
        <v>18</v>
      </c>
      <c r="CK14" s="6" t="s">
        <v>19</v>
      </c>
      <c r="CL14" s="1" t="s">
        <v>18</v>
      </c>
      <c r="CN14" s="6" t="s">
        <v>19</v>
      </c>
      <c r="CO14" s="2" t="s">
        <v>63</v>
      </c>
      <c r="CQ14" s="2" t="s">
        <v>63</v>
      </c>
      <c r="CS14" s="2" t="s">
        <v>63</v>
      </c>
      <c r="CU14" s="2" t="s">
        <v>63</v>
      </c>
      <c r="CW14" s="1" t="s">
        <v>18</v>
      </c>
      <c r="CY14" s="1" t="s">
        <v>18</v>
      </c>
      <c r="DA14" s="1" t="s">
        <v>18</v>
      </c>
      <c r="DC14" s="1" t="s">
        <v>18</v>
      </c>
      <c r="DE14" s="1" t="s">
        <v>18</v>
      </c>
      <c r="DG14" s="1" t="s">
        <v>18</v>
      </c>
      <c r="DI14" s="1" t="s">
        <v>18</v>
      </c>
      <c r="DK14" s="1" t="s">
        <v>18</v>
      </c>
      <c r="DM14" s="1" t="s">
        <v>18</v>
      </c>
      <c r="DO14" s="1" t="s">
        <v>18</v>
      </c>
      <c r="DQ14" s="1" t="s">
        <v>18</v>
      </c>
      <c r="DS14" s="1" t="s">
        <v>20</v>
      </c>
      <c r="DU14" s="1" t="s">
        <v>21</v>
      </c>
      <c r="DW14" s="1" t="s">
        <v>22</v>
      </c>
      <c r="DX14" s="1" t="s">
        <v>20</v>
      </c>
      <c r="DZ14" s="1" t="s">
        <v>21</v>
      </c>
      <c r="EB14" s="1" t="s">
        <v>22</v>
      </c>
      <c r="EC14" s="1" t="s">
        <v>20</v>
      </c>
      <c r="EE14" s="1" t="s">
        <v>21</v>
      </c>
      <c r="EG14" s="1" t="s">
        <v>22</v>
      </c>
      <c r="EH14" s="1" t="s">
        <v>20</v>
      </c>
      <c r="EJ14" s="1" t="s">
        <v>21</v>
      </c>
      <c r="EL14" s="1" t="s">
        <v>22</v>
      </c>
      <c r="EM14" s="1" t="s">
        <v>20</v>
      </c>
      <c r="EO14" s="1" t="s">
        <v>21</v>
      </c>
      <c r="EQ14" s="1" t="s">
        <v>22</v>
      </c>
      <c r="ER14" s="1" t="s">
        <v>100</v>
      </c>
    </row>
    <row r="15" spans="1:148" ht="12">
      <c r="A15" s="1" t="s">
        <v>23</v>
      </c>
      <c r="B15" s="6" t="s">
        <v>24</v>
      </c>
      <c r="C15" s="1" t="s">
        <v>25</v>
      </c>
      <c r="D15" s="6" t="s">
        <v>24</v>
      </c>
      <c r="E15" s="1" t="s">
        <v>25</v>
      </c>
      <c r="F15" s="6" t="s">
        <v>24</v>
      </c>
      <c r="G15" s="1" t="s">
        <v>25</v>
      </c>
      <c r="H15" s="6" t="s">
        <v>24</v>
      </c>
      <c r="I15" s="1" t="s">
        <v>25</v>
      </c>
      <c r="J15" s="6" t="s">
        <v>24</v>
      </c>
      <c r="K15" s="1" t="s">
        <v>25</v>
      </c>
      <c r="L15" s="6" t="s">
        <v>26</v>
      </c>
      <c r="M15" s="6" t="s">
        <v>24</v>
      </c>
      <c r="N15" s="1" t="s">
        <v>25</v>
      </c>
      <c r="O15" s="6" t="s">
        <v>26</v>
      </c>
      <c r="P15" s="6" t="s">
        <v>24</v>
      </c>
      <c r="Q15" s="1" t="s">
        <v>25</v>
      </c>
      <c r="R15" s="6" t="s">
        <v>26</v>
      </c>
      <c r="S15" s="6" t="s">
        <v>24</v>
      </c>
      <c r="T15" s="1" t="s">
        <v>25</v>
      </c>
      <c r="U15" s="6" t="s">
        <v>26</v>
      </c>
      <c r="V15" s="6" t="s">
        <v>24</v>
      </c>
      <c r="W15" s="1" t="s">
        <v>61</v>
      </c>
      <c r="X15" s="6" t="s">
        <v>24</v>
      </c>
      <c r="Y15" s="1" t="s">
        <v>61</v>
      </c>
      <c r="Z15" s="6" t="s">
        <v>24</v>
      </c>
      <c r="AA15" s="1" t="s">
        <v>61</v>
      </c>
      <c r="AB15" s="6" t="s">
        <v>24</v>
      </c>
      <c r="AC15" s="1" t="s">
        <v>61</v>
      </c>
      <c r="AD15" s="6" t="s">
        <v>24</v>
      </c>
      <c r="AE15" s="1" t="s">
        <v>25</v>
      </c>
      <c r="AF15" s="6" t="s">
        <v>24</v>
      </c>
      <c r="AG15" s="1" t="s">
        <v>25</v>
      </c>
      <c r="AH15" s="6" t="s">
        <v>24</v>
      </c>
      <c r="AI15" s="1" t="s">
        <v>25</v>
      </c>
      <c r="AJ15" s="6" t="s">
        <v>24</v>
      </c>
      <c r="AK15" s="1" t="s">
        <v>25</v>
      </c>
      <c r="AL15" s="6" t="s">
        <v>24</v>
      </c>
      <c r="AM15" s="1" t="s">
        <v>25</v>
      </c>
      <c r="AN15" s="6" t="s">
        <v>24</v>
      </c>
      <c r="AO15" s="1" t="s">
        <v>25</v>
      </c>
      <c r="AP15" s="6" t="s">
        <v>24</v>
      </c>
      <c r="AQ15" s="1" t="s">
        <v>25</v>
      </c>
      <c r="AR15" s="6" t="s">
        <v>24</v>
      </c>
      <c r="AS15" s="1" t="s">
        <v>25</v>
      </c>
      <c r="AT15" s="1" t="s">
        <v>27</v>
      </c>
      <c r="AU15" s="1" t="s">
        <v>28</v>
      </c>
      <c r="AV15" s="1" t="s">
        <v>29</v>
      </c>
      <c r="AW15" s="1" t="s">
        <v>18</v>
      </c>
      <c r="AX15" s="1" t="s">
        <v>30</v>
      </c>
      <c r="AY15" s="1" t="s">
        <v>27</v>
      </c>
      <c r="AZ15" s="1" t="s">
        <v>28</v>
      </c>
      <c r="BA15" s="1" t="s">
        <v>29</v>
      </c>
      <c r="BB15" s="1" t="s">
        <v>18</v>
      </c>
      <c r="BC15" s="1" t="s">
        <v>30</v>
      </c>
      <c r="BD15" s="1" t="s">
        <v>27</v>
      </c>
      <c r="BE15" s="1" t="s">
        <v>28</v>
      </c>
      <c r="BF15" s="1" t="s">
        <v>29</v>
      </c>
      <c r="BG15" s="1" t="s">
        <v>18</v>
      </c>
      <c r="BH15" s="1" t="s">
        <v>30</v>
      </c>
      <c r="BI15" s="1" t="s">
        <v>27</v>
      </c>
      <c r="BJ15" s="1" t="s">
        <v>28</v>
      </c>
      <c r="BK15" s="1" t="s">
        <v>29</v>
      </c>
      <c r="BL15" s="1" t="s">
        <v>18</v>
      </c>
      <c r="BM15" s="1" t="s">
        <v>30</v>
      </c>
      <c r="BN15" s="62" t="s">
        <v>101</v>
      </c>
      <c r="BO15" s="1"/>
      <c r="BP15" s="6" t="s">
        <v>24</v>
      </c>
      <c r="BQ15" s="1" t="s">
        <v>25</v>
      </c>
      <c r="BR15" s="6" t="s">
        <v>24</v>
      </c>
      <c r="BS15" s="1" t="s">
        <v>25</v>
      </c>
      <c r="BT15" s="6" t="s">
        <v>24</v>
      </c>
      <c r="BU15" s="1" t="s">
        <v>25</v>
      </c>
      <c r="BV15" s="6" t="s">
        <v>24</v>
      </c>
      <c r="BW15" s="1" t="s">
        <v>25</v>
      </c>
      <c r="BX15" s="6" t="s">
        <v>24</v>
      </c>
      <c r="BY15" s="1" t="s">
        <v>25</v>
      </c>
      <c r="BZ15" s="6" t="s">
        <v>24</v>
      </c>
      <c r="CA15" s="1" t="s">
        <v>25</v>
      </c>
      <c r="CB15" s="1" t="s">
        <v>26</v>
      </c>
      <c r="CC15" s="6" t="s">
        <v>24</v>
      </c>
      <c r="CD15" s="1" t="s">
        <v>25</v>
      </c>
      <c r="CE15" s="1" t="s">
        <v>26</v>
      </c>
      <c r="CF15" s="6" t="s">
        <v>24</v>
      </c>
      <c r="CG15" s="1" t="s">
        <v>25</v>
      </c>
      <c r="CH15" s="1" t="s">
        <v>26</v>
      </c>
      <c r="CI15" s="6" t="s">
        <v>24</v>
      </c>
      <c r="CJ15" s="1" t="s">
        <v>25</v>
      </c>
      <c r="CK15" s="1" t="s">
        <v>26</v>
      </c>
      <c r="CL15" s="6" t="s">
        <v>24</v>
      </c>
      <c r="CM15" s="1" t="s">
        <v>25</v>
      </c>
      <c r="CN15" s="1" t="s">
        <v>26</v>
      </c>
      <c r="CO15" s="6" t="s">
        <v>24</v>
      </c>
      <c r="CP15" s="1" t="s">
        <v>61</v>
      </c>
      <c r="CQ15" s="6" t="s">
        <v>24</v>
      </c>
      <c r="CR15" s="1" t="s">
        <v>61</v>
      </c>
      <c r="CS15" s="6" t="s">
        <v>24</v>
      </c>
      <c r="CT15" s="1" t="s">
        <v>61</v>
      </c>
      <c r="CU15" s="6" t="s">
        <v>24</v>
      </c>
      <c r="CV15" s="1" t="s">
        <v>25</v>
      </c>
      <c r="CW15" s="6" t="s">
        <v>24</v>
      </c>
      <c r="CX15" s="1" t="s">
        <v>25</v>
      </c>
      <c r="CY15" s="6" t="s">
        <v>24</v>
      </c>
      <c r="CZ15" s="1" t="s">
        <v>25</v>
      </c>
      <c r="DA15" s="6" t="s">
        <v>24</v>
      </c>
      <c r="DB15" s="1" t="s">
        <v>25</v>
      </c>
      <c r="DC15" s="6" t="s">
        <v>24</v>
      </c>
      <c r="DD15" s="1" t="s">
        <v>25</v>
      </c>
      <c r="DE15" s="6" t="s">
        <v>24</v>
      </c>
      <c r="DF15" s="1" t="s">
        <v>25</v>
      </c>
      <c r="DG15" s="6" t="s">
        <v>24</v>
      </c>
      <c r="DH15" s="1" t="s">
        <v>25</v>
      </c>
      <c r="DI15" s="6" t="s">
        <v>24</v>
      </c>
      <c r="DJ15" s="1" t="s">
        <v>25</v>
      </c>
      <c r="DK15" s="6" t="s">
        <v>24</v>
      </c>
      <c r="DL15" s="1" t="s">
        <v>25</v>
      </c>
      <c r="DM15" s="6" t="s">
        <v>24</v>
      </c>
      <c r="DN15" s="1" t="s">
        <v>25</v>
      </c>
      <c r="DO15" s="6" t="s">
        <v>24</v>
      </c>
      <c r="DP15" s="1" t="s">
        <v>25</v>
      </c>
      <c r="DQ15" s="6" t="s">
        <v>24</v>
      </c>
      <c r="DR15" s="1" t="s">
        <v>25</v>
      </c>
      <c r="DS15" s="1" t="s">
        <v>27</v>
      </c>
      <c r="DT15" s="1" t="s">
        <v>28</v>
      </c>
      <c r="DU15" s="1" t="s">
        <v>29</v>
      </c>
      <c r="DV15" s="1" t="s">
        <v>18</v>
      </c>
      <c r="DW15" s="1" t="s">
        <v>30</v>
      </c>
      <c r="DX15" s="1" t="s">
        <v>27</v>
      </c>
      <c r="DY15" s="1" t="s">
        <v>28</v>
      </c>
      <c r="DZ15" s="1" t="s">
        <v>29</v>
      </c>
      <c r="EA15" s="1" t="s">
        <v>18</v>
      </c>
      <c r="EB15" s="1" t="s">
        <v>30</v>
      </c>
      <c r="EC15" s="1" t="s">
        <v>27</v>
      </c>
      <c r="ED15" s="1" t="s">
        <v>28</v>
      </c>
      <c r="EE15" s="1" t="s">
        <v>29</v>
      </c>
      <c r="EF15" s="1" t="s">
        <v>18</v>
      </c>
      <c r="EG15" s="1" t="s">
        <v>30</v>
      </c>
      <c r="EH15" s="1" t="s">
        <v>27</v>
      </c>
      <c r="EI15" s="1" t="s">
        <v>28</v>
      </c>
      <c r="EJ15" s="1" t="s">
        <v>29</v>
      </c>
      <c r="EK15" s="1" t="s">
        <v>18</v>
      </c>
      <c r="EL15" s="1" t="s">
        <v>30</v>
      </c>
      <c r="EM15" s="1" t="s">
        <v>27</v>
      </c>
      <c r="EN15" s="1" t="s">
        <v>28</v>
      </c>
      <c r="EO15" s="1" t="s">
        <v>29</v>
      </c>
      <c r="EP15" s="1" t="s">
        <v>18</v>
      </c>
      <c r="EQ15" s="1" t="s">
        <v>30</v>
      </c>
      <c r="ER15" s="62" t="s">
        <v>101</v>
      </c>
    </row>
    <row r="16" spans="1:148" ht="12.75" thickBo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row>
    <row r="17" spans="1:147" ht="12">
      <c r="A17" s="1" t="s">
        <v>31</v>
      </c>
      <c r="B17" s="24">
        <v>19</v>
      </c>
      <c r="C17" s="8">
        <v>40</v>
      </c>
      <c r="D17" s="23">
        <v>3</v>
      </c>
      <c r="E17" s="8">
        <v>46</v>
      </c>
      <c r="F17" s="23">
        <v>24</v>
      </c>
      <c r="G17" s="8">
        <v>42</v>
      </c>
      <c r="H17" s="23">
        <v>61</v>
      </c>
      <c r="I17" s="8">
        <v>24</v>
      </c>
      <c r="J17" s="23">
        <v>22</v>
      </c>
      <c r="K17" s="8">
        <v>36</v>
      </c>
      <c r="L17" s="20">
        <v>1</v>
      </c>
      <c r="M17" s="23">
        <v>4</v>
      </c>
      <c r="N17" s="8">
        <v>45</v>
      </c>
      <c r="O17" s="20">
        <v>-0.8</v>
      </c>
      <c r="P17" s="23">
        <v>20</v>
      </c>
      <c r="Q17" s="8">
        <v>37</v>
      </c>
      <c r="R17" s="20">
        <v>1</v>
      </c>
      <c r="S17" s="23">
        <v>73</v>
      </c>
      <c r="T17" s="8">
        <v>10</v>
      </c>
      <c r="U17" s="20">
        <v>6</v>
      </c>
      <c r="V17" s="23">
        <v>11</v>
      </c>
      <c r="W17" s="10">
        <v>82</v>
      </c>
      <c r="X17" s="23">
        <v>12</v>
      </c>
      <c r="Y17" s="10">
        <v>80</v>
      </c>
      <c r="Z17" s="23">
        <v>17</v>
      </c>
      <c r="AA17" s="10">
        <v>78</v>
      </c>
      <c r="AB17" s="23">
        <v>3</v>
      </c>
      <c r="AC17" s="10">
        <v>92</v>
      </c>
      <c r="AD17" s="23">
        <v>6</v>
      </c>
      <c r="AE17" s="10">
        <v>43</v>
      </c>
      <c r="AF17" s="23">
        <v>4</v>
      </c>
      <c r="AG17" s="10">
        <v>44</v>
      </c>
      <c r="AH17" s="23">
        <v>10</v>
      </c>
      <c r="AI17" s="10">
        <v>49</v>
      </c>
      <c r="AJ17" s="23">
        <v>7</v>
      </c>
      <c r="AK17" s="10">
        <v>37</v>
      </c>
      <c r="AL17" s="23">
        <v>0</v>
      </c>
      <c r="AM17" s="10">
        <v>47</v>
      </c>
      <c r="AN17" s="23">
        <v>-7</v>
      </c>
      <c r="AO17" s="10">
        <v>45</v>
      </c>
      <c r="AP17" s="23">
        <v>4</v>
      </c>
      <c r="AQ17" s="10">
        <v>52</v>
      </c>
      <c r="AR17" s="23">
        <v>18</v>
      </c>
      <c r="AS17" s="10">
        <v>51</v>
      </c>
      <c r="AT17" s="6" t="s">
        <v>1</v>
      </c>
      <c r="AU17" s="6" t="s">
        <v>1</v>
      </c>
      <c r="AV17" s="6" t="s">
        <v>1</v>
      </c>
      <c r="AW17" s="6" t="s">
        <v>1</v>
      </c>
      <c r="AX17" s="6" t="s">
        <v>1</v>
      </c>
      <c r="AY17" s="6" t="s">
        <v>1</v>
      </c>
      <c r="AZ17" s="6" t="s">
        <v>1</v>
      </c>
      <c r="BA17" s="6" t="s">
        <v>1</v>
      </c>
      <c r="BB17" s="6" t="s">
        <v>1</v>
      </c>
      <c r="BC17" s="6" t="s">
        <v>1</v>
      </c>
      <c r="BD17" s="6" t="s">
        <v>1</v>
      </c>
      <c r="BE17" s="6" t="s">
        <v>1</v>
      </c>
      <c r="BF17" s="6" t="s">
        <v>1</v>
      </c>
      <c r="BG17" s="6" t="s">
        <v>1</v>
      </c>
      <c r="BH17" s="6" t="s">
        <v>1</v>
      </c>
      <c r="BI17" s="6" t="s">
        <v>1</v>
      </c>
      <c r="BJ17" s="6" t="s">
        <v>1</v>
      </c>
      <c r="BK17" s="6" t="s">
        <v>1</v>
      </c>
      <c r="BL17" s="6" t="s">
        <v>1</v>
      </c>
      <c r="BM17" s="6" t="s">
        <v>1</v>
      </c>
      <c r="BN17" s="6"/>
      <c r="BO17" s="6"/>
      <c r="BP17" s="24">
        <v>11</v>
      </c>
      <c r="BQ17" s="8">
        <v>43</v>
      </c>
      <c r="BR17" s="24">
        <v>-4</v>
      </c>
      <c r="BS17" s="8">
        <v>48</v>
      </c>
      <c r="BT17" s="24">
        <v>14</v>
      </c>
      <c r="BU17" s="8">
        <v>44</v>
      </c>
      <c r="BV17" s="24">
        <v>57</v>
      </c>
      <c r="BW17" s="8">
        <v>25</v>
      </c>
      <c r="BX17" s="22" t="s">
        <v>1</v>
      </c>
      <c r="BY17" s="22" t="s">
        <v>1</v>
      </c>
      <c r="BZ17" s="24">
        <v>10</v>
      </c>
      <c r="CA17" s="8">
        <v>40</v>
      </c>
      <c r="CB17" s="20">
        <v>-0.3</v>
      </c>
      <c r="CC17" s="24">
        <v>-8</v>
      </c>
      <c r="CD17" s="8">
        <v>46</v>
      </c>
      <c r="CE17" s="20">
        <v>-2.2</v>
      </c>
      <c r="CF17" s="24">
        <v>12</v>
      </c>
      <c r="CG17" s="8">
        <v>42</v>
      </c>
      <c r="CH17" s="20">
        <v>0.2</v>
      </c>
      <c r="CI17" s="24">
        <v>63</v>
      </c>
      <c r="CJ17" s="8">
        <v>19</v>
      </c>
      <c r="CK17" s="20">
        <v>5.3</v>
      </c>
      <c r="CL17" s="22" t="s">
        <v>1</v>
      </c>
      <c r="CM17" s="22" t="s">
        <v>1</v>
      </c>
      <c r="CN17" s="22" t="s">
        <v>1</v>
      </c>
      <c r="CO17" s="24">
        <v>12</v>
      </c>
      <c r="CP17" s="10">
        <v>77</v>
      </c>
      <c r="CQ17" s="24">
        <v>17</v>
      </c>
      <c r="CR17" s="10">
        <v>74</v>
      </c>
      <c r="CS17" s="24">
        <v>16</v>
      </c>
      <c r="CT17" s="10">
        <v>77</v>
      </c>
      <c r="CU17" s="24">
        <v>-4</v>
      </c>
      <c r="CV17" s="10">
        <v>84</v>
      </c>
      <c r="CW17" s="22" t="s">
        <v>1</v>
      </c>
      <c r="CX17" s="22" t="s">
        <v>1</v>
      </c>
      <c r="CY17" s="24">
        <v>7</v>
      </c>
      <c r="CZ17" s="10">
        <v>43</v>
      </c>
      <c r="DA17" s="24">
        <v>4</v>
      </c>
      <c r="DB17" s="10">
        <v>44</v>
      </c>
      <c r="DC17" s="24">
        <v>12</v>
      </c>
      <c r="DD17" s="12">
        <v>43</v>
      </c>
      <c r="DE17" s="24">
        <v>13</v>
      </c>
      <c r="DF17" s="12">
        <v>41</v>
      </c>
      <c r="DG17" s="22" t="s">
        <v>1</v>
      </c>
      <c r="DH17" s="22" t="s">
        <v>1</v>
      </c>
      <c r="DI17" s="24">
        <v>2</v>
      </c>
      <c r="DJ17" s="12">
        <v>46</v>
      </c>
      <c r="DK17" s="24">
        <v>-6</v>
      </c>
      <c r="DL17" s="12">
        <v>47</v>
      </c>
      <c r="DM17" s="24">
        <v>3</v>
      </c>
      <c r="DN17" s="12">
        <v>47</v>
      </c>
      <c r="DO17" s="24">
        <v>29</v>
      </c>
      <c r="DP17" s="12">
        <v>42</v>
      </c>
      <c r="DQ17" s="22" t="s">
        <v>1</v>
      </c>
      <c r="DR17" s="22" t="s">
        <v>1</v>
      </c>
      <c r="DS17" s="6" t="s">
        <v>1</v>
      </c>
      <c r="DT17" s="6" t="s">
        <v>1</v>
      </c>
      <c r="DU17" s="6" t="s">
        <v>1</v>
      </c>
      <c r="DV17" s="6" t="s">
        <v>1</v>
      </c>
      <c r="DW17" s="6" t="s">
        <v>1</v>
      </c>
      <c r="DX17" s="6" t="s">
        <v>1</v>
      </c>
      <c r="DY17" s="6" t="s">
        <v>1</v>
      </c>
      <c r="DZ17" s="6" t="s">
        <v>1</v>
      </c>
      <c r="EA17" s="6" t="s">
        <v>1</v>
      </c>
      <c r="EB17" s="6" t="s">
        <v>1</v>
      </c>
      <c r="EC17" s="6" t="s">
        <v>1</v>
      </c>
      <c r="ED17" s="6" t="s">
        <v>1</v>
      </c>
      <c r="EE17" s="6" t="s">
        <v>1</v>
      </c>
      <c r="EF17" s="6" t="s">
        <v>1</v>
      </c>
      <c r="EG17" s="6" t="s">
        <v>1</v>
      </c>
      <c r="EH17" s="6" t="s">
        <v>1</v>
      </c>
      <c r="EI17" s="6" t="s">
        <v>1</v>
      </c>
      <c r="EJ17" s="6" t="s">
        <v>1</v>
      </c>
      <c r="EK17" s="6" t="s">
        <v>1</v>
      </c>
      <c r="EL17" s="6" t="s">
        <v>1</v>
      </c>
      <c r="EM17" s="6" t="s">
        <v>1</v>
      </c>
      <c r="EN17" s="6" t="s">
        <v>1</v>
      </c>
      <c r="EO17" s="6" t="s">
        <v>1</v>
      </c>
      <c r="EP17" s="6" t="s">
        <v>1</v>
      </c>
      <c r="EQ17" s="6" t="s">
        <v>1</v>
      </c>
    </row>
    <row r="18" spans="1:147" ht="12">
      <c r="A18" s="1" t="s">
        <v>32</v>
      </c>
      <c r="B18" s="24">
        <v>10</v>
      </c>
      <c r="C18" s="8">
        <v>43</v>
      </c>
      <c r="D18" s="23">
        <v>-4</v>
      </c>
      <c r="E18" s="8">
        <v>43</v>
      </c>
      <c r="F18" s="23">
        <v>14</v>
      </c>
      <c r="G18" s="8">
        <v>47</v>
      </c>
      <c r="H18" s="23">
        <v>45</v>
      </c>
      <c r="I18" s="8">
        <v>41</v>
      </c>
      <c r="J18" s="23">
        <v>18</v>
      </c>
      <c r="K18" s="8">
        <v>44</v>
      </c>
      <c r="L18" s="20">
        <v>0.6</v>
      </c>
      <c r="M18" s="23">
        <v>0</v>
      </c>
      <c r="N18" s="8">
        <v>50</v>
      </c>
      <c r="O18" s="20">
        <v>-1.2</v>
      </c>
      <c r="P18" s="23">
        <v>21</v>
      </c>
      <c r="Q18" s="8">
        <v>41</v>
      </c>
      <c r="R18" s="20">
        <v>1.2</v>
      </c>
      <c r="S18" s="23">
        <v>63</v>
      </c>
      <c r="T18" s="8">
        <v>28</v>
      </c>
      <c r="U18" s="20">
        <v>5.3</v>
      </c>
      <c r="V18" s="23">
        <v>10</v>
      </c>
      <c r="W18" s="10">
        <v>80</v>
      </c>
      <c r="X18" s="23">
        <v>11</v>
      </c>
      <c r="Y18" s="10">
        <v>77</v>
      </c>
      <c r="Z18" s="23">
        <v>6</v>
      </c>
      <c r="AA18" s="10">
        <v>82</v>
      </c>
      <c r="AB18" s="23">
        <v>9</v>
      </c>
      <c r="AC18" s="10">
        <v>88</v>
      </c>
      <c r="AD18" s="23">
        <v>42</v>
      </c>
      <c r="AE18" s="10">
        <v>31</v>
      </c>
      <c r="AF18" s="23">
        <v>31</v>
      </c>
      <c r="AG18" s="10">
        <v>35</v>
      </c>
      <c r="AH18" s="23">
        <v>50</v>
      </c>
      <c r="AI18" s="10">
        <v>38</v>
      </c>
      <c r="AJ18" s="23">
        <v>67</v>
      </c>
      <c r="AK18" s="10">
        <v>16</v>
      </c>
      <c r="AL18" s="23">
        <v>27</v>
      </c>
      <c r="AM18" s="10">
        <v>38</v>
      </c>
      <c r="AN18" s="23">
        <v>17</v>
      </c>
      <c r="AO18" s="10">
        <v>40</v>
      </c>
      <c r="AP18" s="23">
        <v>33</v>
      </c>
      <c r="AQ18" s="10">
        <v>46</v>
      </c>
      <c r="AR18" s="23">
        <v>49</v>
      </c>
      <c r="AS18" s="10">
        <v>26</v>
      </c>
      <c r="AT18" s="6" t="s">
        <v>1</v>
      </c>
      <c r="AU18" s="6" t="s">
        <v>1</v>
      </c>
      <c r="AV18" s="6" t="s">
        <v>1</v>
      </c>
      <c r="AW18" s="6" t="s">
        <v>1</v>
      </c>
      <c r="AX18" s="6" t="s">
        <v>1</v>
      </c>
      <c r="AY18" s="6" t="s">
        <v>1</v>
      </c>
      <c r="AZ18" s="6" t="s">
        <v>1</v>
      </c>
      <c r="BA18" s="6" t="s">
        <v>1</v>
      </c>
      <c r="BB18" s="6" t="s">
        <v>1</v>
      </c>
      <c r="BC18" s="6" t="s">
        <v>1</v>
      </c>
      <c r="BD18" s="6" t="s">
        <v>1</v>
      </c>
      <c r="BE18" s="6" t="s">
        <v>1</v>
      </c>
      <c r="BF18" s="6" t="s">
        <v>1</v>
      </c>
      <c r="BG18" s="6" t="s">
        <v>1</v>
      </c>
      <c r="BH18" s="6" t="s">
        <v>1</v>
      </c>
      <c r="BI18" s="6" t="s">
        <v>1</v>
      </c>
      <c r="BJ18" s="6" t="s">
        <v>1</v>
      </c>
      <c r="BK18" s="6" t="s">
        <v>1</v>
      </c>
      <c r="BL18" s="6" t="s">
        <v>1</v>
      </c>
      <c r="BM18" s="6" t="s">
        <v>1</v>
      </c>
      <c r="BN18" s="6"/>
      <c r="BO18" s="6"/>
      <c r="BP18" s="24">
        <v>5</v>
      </c>
      <c r="BQ18" s="8">
        <v>44</v>
      </c>
      <c r="BR18" s="24">
        <v>-4</v>
      </c>
      <c r="BS18" s="8">
        <v>46</v>
      </c>
      <c r="BT18" s="24">
        <v>4</v>
      </c>
      <c r="BU18" s="8">
        <v>47</v>
      </c>
      <c r="BV18" s="24">
        <v>42</v>
      </c>
      <c r="BW18" s="8">
        <v>31</v>
      </c>
      <c r="BX18" s="22" t="s">
        <v>1</v>
      </c>
      <c r="BY18" s="22" t="s">
        <v>1</v>
      </c>
      <c r="BZ18" s="24">
        <v>12</v>
      </c>
      <c r="CA18" s="8">
        <v>42</v>
      </c>
      <c r="CB18" s="20">
        <v>-0.1</v>
      </c>
      <c r="CC18" s="24">
        <v>-1</v>
      </c>
      <c r="CD18" s="8">
        <v>47</v>
      </c>
      <c r="CE18" s="20">
        <v>-1.8</v>
      </c>
      <c r="CF18" s="24">
        <v>12</v>
      </c>
      <c r="CG18" s="8">
        <v>44</v>
      </c>
      <c r="CH18" s="20">
        <v>0.3</v>
      </c>
      <c r="CI18" s="24">
        <v>62</v>
      </c>
      <c r="CJ18" s="8">
        <v>21</v>
      </c>
      <c r="CK18" s="20">
        <v>6.1</v>
      </c>
      <c r="CL18" s="22" t="s">
        <v>1</v>
      </c>
      <c r="CM18" s="22" t="s">
        <v>1</v>
      </c>
      <c r="CN18" s="22" t="s">
        <v>1</v>
      </c>
      <c r="CO18" s="24">
        <v>8</v>
      </c>
      <c r="CP18" s="10">
        <v>76</v>
      </c>
      <c r="CQ18" s="24">
        <v>12</v>
      </c>
      <c r="CR18" s="10">
        <v>76</v>
      </c>
      <c r="CS18" s="24">
        <v>10</v>
      </c>
      <c r="CT18" s="10">
        <v>79</v>
      </c>
      <c r="CU18" s="24">
        <v>-9</v>
      </c>
      <c r="CV18" s="10">
        <v>76</v>
      </c>
      <c r="CW18" s="22" t="s">
        <v>1</v>
      </c>
      <c r="CX18" s="22" t="s">
        <v>1</v>
      </c>
      <c r="CY18" s="24">
        <v>37</v>
      </c>
      <c r="CZ18" s="10">
        <v>35</v>
      </c>
      <c r="DA18" s="24">
        <v>30</v>
      </c>
      <c r="DB18" s="10">
        <v>36</v>
      </c>
      <c r="DC18" s="24">
        <v>40</v>
      </c>
      <c r="DD18" s="12">
        <v>35</v>
      </c>
      <c r="DE18" s="24">
        <v>60</v>
      </c>
      <c r="DF18" s="12">
        <v>31</v>
      </c>
      <c r="DG18" s="22" t="s">
        <v>1</v>
      </c>
      <c r="DH18" s="22" t="s">
        <v>1</v>
      </c>
      <c r="DI18" s="24">
        <v>28</v>
      </c>
      <c r="DJ18" s="12">
        <v>42</v>
      </c>
      <c r="DK18" s="24">
        <v>21</v>
      </c>
      <c r="DL18" s="12">
        <v>43</v>
      </c>
      <c r="DM18" s="24">
        <v>32</v>
      </c>
      <c r="DN18" s="12">
        <v>41</v>
      </c>
      <c r="DO18" s="24">
        <v>51</v>
      </c>
      <c r="DP18" s="12">
        <v>38</v>
      </c>
      <c r="DQ18" s="22" t="s">
        <v>1</v>
      </c>
      <c r="DR18" s="22" t="s">
        <v>1</v>
      </c>
      <c r="DS18" s="6" t="s">
        <v>1</v>
      </c>
      <c r="DT18" s="6" t="s">
        <v>1</v>
      </c>
      <c r="DU18" s="6" t="s">
        <v>1</v>
      </c>
      <c r="DV18" s="6" t="s">
        <v>1</v>
      </c>
      <c r="DW18" s="6" t="s">
        <v>1</v>
      </c>
      <c r="DX18" s="6" t="s">
        <v>1</v>
      </c>
      <c r="DY18" s="6" t="s">
        <v>1</v>
      </c>
      <c r="DZ18" s="6" t="s">
        <v>1</v>
      </c>
      <c r="EA18" s="6" t="s">
        <v>1</v>
      </c>
      <c r="EB18" s="6" t="s">
        <v>1</v>
      </c>
      <c r="EC18" s="6" t="s">
        <v>1</v>
      </c>
      <c r="ED18" s="6" t="s">
        <v>1</v>
      </c>
      <c r="EE18" s="6" t="s">
        <v>1</v>
      </c>
      <c r="EF18" s="6" t="s">
        <v>1</v>
      </c>
      <c r="EG18" s="6" t="s">
        <v>1</v>
      </c>
      <c r="EH18" s="6" t="s">
        <v>1</v>
      </c>
      <c r="EI18" s="6" t="s">
        <v>1</v>
      </c>
      <c r="EJ18" s="6" t="s">
        <v>1</v>
      </c>
      <c r="EK18" s="6" t="s">
        <v>1</v>
      </c>
      <c r="EL18" s="6" t="s">
        <v>1</v>
      </c>
      <c r="EM18" s="6" t="s">
        <v>1</v>
      </c>
      <c r="EN18" s="6" t="s">
        <v>1</v>
      </c>
      <c r="EO18" s="6" t="s">
        <v>1</v>
      </c>
      <c r="EP18" s="6" t="s">
        <v>1</v>
      </c>
      <c r="EQ18" s="6" t="s">
        <v>1</v>
      </c>
    </row>
    <row r="19" spans="1:147" ht="12">
      <c r="A19" s="1" t="s">
        <v>33</v>
      </c>
      <c r="B19" s="24">
        <v>27</v>
      </c>
      <c r="C19" s="8">
        <v>34</v>
      </c>
      <c r="D19" s="23">
        <v>11</v>
      </c>
      <c r="E19" s="8">
        <v>38</v>
      </c>
      <c r="F19" s="23">
        <v>37</v>
      </c>
      <c r="G19" s="8">
        <v>42</v>
      </c>
      <c r="H19" s="23">
        <v>71</v>
      </c>
      <c r="I19" s="8">
        <v>17</v>
      </c>
      <c r="J19" s="23">
        <v>19</v>
      </c>
      <c r="K19" s="8">
        <v>34</v>
      </c>
      <c r="L19" s="20">
        <v>1.1</v>
      </c>
      <c r="M19" s="23">
        <v>-2</v>
      </c>
      <c r="N19" s="8">
        <v>37</v>
      </c>
      <c r="O19" s="20">
        <v>-1.3</v>
      </c>
      <c r="P19" s="23">
        <v>36</v>
      </c>
      <c r="Q19" s="8">
        <v>43</v>
      </c>
      <c r="R19" s="20">
        <v>2.9</v>
      </c>
      <c r="S19" s="23">
        <v>71</v>
      </c>
      <c r="T19" s="8">
        <v>17</v>
      </c>
      <c r="U19" s="20">
        <v>7.5</v>
      </c>
      <c r="V19" s="23">
        <v>8</v>
      </c>
      <c r="W19" s="10">
        <v>79</v>
      </c>
      <c r="X19" s="23">
        <v>8</v>
      </c>
      <c r="Y19" s="10">
        <v>75</v>
      </c>
      <c r="Z19" s="23">
        <v>10</v>
      </c>
      <c r="AA19" s="10">
        <v>83</v>
      </c>
      <c r="AB19" s="23">
        <v>6</v>
      </c>
      <c r="AC19" s="10">
        <v>86</v>
      </c>
      <c r="AD19" s="23">
        <v>-7</v>
      </c>
      <c r="AE19" s="10">
        <v>47</v>
      </c>
      <c r="AF19" s="23">
        <v>-13</v>
      </c>
      <c r="AG19" s="10">
        <v>53</v>
      </c>
      <c r="AH19" s="23">
        <v>-16</v>
      </c>
      <c r="AI19" s="10">
        <v>45</v>
      </c>
      <c r="AJ19" s="23">
        <v>17</v>
      </c>
      <c r="AK19" s="10">
        <v>30</v>
      </c>
      <c r="AL19" s="23">
        <v>-3</v>
      </c>
      <c r="AM19" s="10">
        <v>47</v>
      </c>
      <c r="AN19" s="23">
        <v>-10</v>
      </c>
      <c r="AO19" s="10">
        <v>48</v>
      </c>
      <c r="AP19" s="23">
        <v>-8</v>
      </c>
      <c r="AQ19" s="10">
        <v>53</v>
      </c>
      <c r="AR19" s="23">
        <v>21</v>
      </c>
      <c r="AS19" s="10">
        <v>40</v>
      </c>
      <c r="AT19" s="6" t="s">
        <v>1</v>
      </c>
      <c r="AU19" s="6" t="s">
        <v>1</v>
      </c>
      <c r="AV19" s="6" t="s">
        <v>1</v>
      </c>
      <c r="AW19" s="6" t="s">
        <v>1</v>
      </c>
      <c r="AX19" s="6" t="s">
        <v>1</v>
      </c>
      <c r="AY19" s="6" t="s">
        <v>1</v>
      </c>
      <c r="AZ19" s="6" t="s">
        <v>1</v>
      </c>
      <c r="BA19" s="6" t="s">
        <v>1</v>
      </c>
      <c r="BB19" s="6" t="s">
        <v>1</v>
      </c>
      <c r="BC19" s="6" t="s">
        <v>1</v>
      </c>
      <c r="BD19" s="6" t="s">
        <v>1</v>
      </c>
      <c r="BE19" s="6" t="s">
        <v>1</v>
      </c>
      <c r="BF19" s="6" t="s">
        <v>1</v>
      </c>
      <c r="BG19" s="6" t="s">
        <v>1</v>
      </c>
      <c r="BH19" s="6" t="s">
        <v>1</v>
      </c>
      <c r="BI19" s="6" t="s">
        <v>1</v>
      </c>
      <c r="BJ19" s="6" t="s">
        <v>1</v>
      </c>
      <c r="BK19" s="6" t="s">
        <v>1</v>
      </c>
      <c r="BL19" s="6" t="s">
        <v>1</v>
      </c>
      <c r="BM19" s="6" t="s">
        <v>1</v>
      </c>
      <c r="BN19" s="6"/>
      <c r="BO19" s="6"/>
      <c r="BP19" s="24">
        <v>23</v>
      </c>
      <c r="BQ19" s="8">
        <v>37</v>
      </c>
      <c r="BR19" s="24">
        <v>12</v>
      </c>
      <c r="BS19" s="8">
        <v>40</v>
      </c>
      <c r="BT19" s="24">
        <v>24</v>
      </c>
      <c r="BU19" s="8">
        <v>38</v>
      </c>
      <c r="BV19" s="24">
        <v>59</v>
      </c>
      <c r="BW19" s="8">
        <v>23</v>
      </c>
      <c r="BX19" s="22" t="s">
        <v>1</v>
      </c>
      <c r="BY19" s="22" t="s">
        <v>1</v>
      </c>
      <c r="BZ19" s="24">
        <v>12</v>
      </c>
      <c r="CA19" s="8">
        <v>38</v>
      </c>
      <c r="CB19" s="20">
        <v>0.1</v>
      </c>
      <c r="CC19" s="24">
        <v>0</v>
      </c>
      <c r="CD19" s="8">
        <v>43</v>
      </c>
      <c r="CE19" s="20">
        <v>-1.6</v>
      </c>
      <c r="CF19" s="24">
        <v>14</v>
      </c>
      <c r="CG19" s="8">
        <v>40</v>
      </c>
      <c r="CH19" s="20">
        <v>1.2</v>
      </c>
      <c r="CI19" s="24">
        <v>54</v>
      </c>
      <c r="CJ19" s="8">
        <v>22</v>
      </c>
      <c r="CK19" s="20">
        <v>5.1</v>
      </c>
      <c r="CL19" s="22" t="s">
        <v>1</v>
      </c>
      <c r="CM19" s="22" t="s">
        <v>1</v>
      </c>
      <c r="CN19" s="22" t="s">
        <v>1</v>
      </c>
      <c r="CO19" s="24">
        <v>9</v>
      </c>
      <c r="CP19" s="10">
        <v>77</v>
      </c>
      <c r="CQ19" s="24">
        <v>10</v>
      </c>
      <c r="CR19" s="10">
        <v>74</v>
      </c>
      <c r="CS19" s="24">
        <v>8</v>
      </c>
      <c r="CT19" s="10">
        <v>79</v>
      </c>
      <c r="CU19" s="24">
        <v>6</v>
      </c>
      <c r="CV19" s="10">
        <v>88</v>
      </c>
      <c r="CW19" s="22" t="s">
        <v>1</v>
      </c>
      <c r="CX19" s="22" t="s">
        <v>1</v>
      </c>
      <c r="CY19" s="24">
        <v>-5</v>
      </c>
      <c r="CZ19" s="10">
        <v>44</v>
      </c>
      <c r="DA19" s="24">
        <v>-8</v>
      </c>
      <c r="DB19" s="10">
        <v>45</v>
      </c>
      <c r="DC19" s="24">
        <v>-6</v>
      </c>
      <c r="DD19" s="12">
        <v>49</v>
      </c>
      <c r="DE19" s="24">
        <v>8</v>
      </c>
      <c r="DF19" s="12">
        <v>35</v>
      </c>
      <c r="DG19" s="22" t="s">
        <v>1</v>
      </c>
      <c r="DH19" s="22" t="s">
        <v>1</v>
      </c>
      <c r="DI19" s="24">
        <v>-8</v>
      </c>
      <c r="DJ19" s="12">
        <v>49</v>
      </c>
      <c r="DK19" s="24">
        <v>-14</v>
      </c>
      <c r="DL19" s="12">
        <v>49</v>
      </c>
      <c r="DM19" s="24">
        <v>-7</v>
      </c>
      <c r="DN19" s="12">
        <v>54</v>
      </c>
      <c r="DO19" s="24">
        <v>14</v>
      </c>
      <c r="DP19" s="12">
        <v>41</v>
      </c>
      <c r="DQ19" s="22" t="s">
        <v>1</v>
      </c>
      <c r="DR19" s="22" t="s">
        <v>1</v>
      </c>
      <c r="DS19" s="6" t="s">
        <v>1</v>
      </c>
      <c r="DT19" s="6" t="s">
        <v>1</v>
      </c>
      <c r="DU19" s="6" t="s">
        <v>1</v>
      </c>
      <c r="DV19" s="6" t="s">
        <v>1</v>
      </c>
      <c r="DW19" s="6" t="s">
        <v>1</v>
      </c>
      <c r="DX19" s="6" t="s">
        <v>1</v>
      </c>
      <c r="DY19" s="6" t="s">
        <v>1</v>
      </c>
      <c r="DZ19" s="6" t="s">
        <v>1</v>
      </c>
      <c r="EA19" s="6" t="s">
        <v>1</v>
      </c>
      <c r="EB19" s="6" t="s">
        <v>1</v>
      </c>
      <c r="EC19" s="6" t="s">
        <v>1</v>
      </c>
      <c r="ED19" s="6" t="s">
        <v>1</v>
      </c>
      <c r="EE19" s="6" t="s">
        <v>1</v>
      </c>
      <c r="EF19" s="6" t="s">
        <v>1</v>
      </c>
      <c r="EG19" s="6" t="s">
        <v>1</v>
      </c>
      <c r="EH19" s="6" t="s">
        <v>1</v>
      </c>
      <c r="EI19" s="6" t="s">
        <v>1</v>
      </c>
      <c r="EJ19" s="6" t="s">
        <v>1</v>
      </c>
      <c r="EK19" s="6" t="s">
        <v>1</v>
      </c>
      <c r="EL19" s="6" t="s">
        <v>1</v>
      </c>
      <c r="EM19" s="6" t="s">
        <v>1</v>
      </c>
      <c r="EN19" s="6" t="s">
        <v>1</v>
      </c>
      <c r="EO19" s="6" t="s">
        <v>1</v>
      </c>
      <c r="EP19" s="6" t="s">
        <v>1</v>
      </c>
      <c r="EQ19" s="6" t="s">
        <v>1</v>
      </c>
    </row>
    <row r="20" spans="1:147" ht="12">
      <c r="A20" s="1" t="s">
        <v>34</v>
      </c>
      <c r="B20" s="24">
        <f aca="true" t="shared" si="0" ref="B20:AS20">AVERAGE(B17:B19)</f>
        <v>18.666666666666668</v>
      </c>
      <c r="C20" s="13">
        <f t="shared" si="0"/>
        <v>39</v>
      </c>
      <c r="D20" s="24">
        <f t="shared" si="0"/>
        <v>3.3333333333333335</v>
      </c>
      <c r="E20" s="13">
        <f t="shared" si="0"/>
        <v>42.333333333333336</v>
      </c>
      <c r="F20" s="24">
        <f t="shared" si="0"/>
        <v>25</v>
      </c>
      <c r="G20" s="13">
        <f t="shared" si="0"/>
        <v>43.666666666666664</v>
      </c>
      <c r="H20" s="24">
        <f t="shared" si="0"/>
        <v>59</v>
      </c>
      <c r="I20" s="13">
        <f t="shared" si="0"/>
        <v>27.333333333333332</v>
      </c>
      <c r="J20" s="24">
        <f t="shared" si="0"/>
        <v>19.666666666666668</v>
      </c>
      <c r="K20" s="13">
        <f t="shared" si="0"/>
        <v>38</v>
      </c>
      <c r="L20" s="21">
        <f t="shared" si="0"/>
        <v>0.9</v>
      </c>
      <c r="M20" s="24">
        <f t="shared" si="0"/>
        <v>0.6666666666666666</v>
      </c>
      <c r="N20" s="13">
        <f t="shared" si="0"/>
        <v>44</v>
      </c>
      <c r="O20" s="21">
        <f t="shared" si="0"/>
        <v>-1.0999999999999999</v>
      </c>
      <c r="P20" s="24">
        <f t="shared" si="0"/>
        <v>25.666666666666668</v>
      </c>
      <c r="Q20" s="13">
        <f t="shared" si="0"/>
        <v>40.333333333333336</v>
      </c>
      <c r="R20" s="21">
        <f t="shared" si="0"/>
        <v>1.7</v>
      </c>
      <c r="S20" s="24">
        <f t="shared" si="0"/>
        <v>69</v>
      </c>
      <c r="T20" s="13">
        <f t="shared" si="0"/>
        <v>18.333333333333332</v>
      </c>
      <c r="U20" s="21">
        <f t="shared" si="0"/>
        <v>6.266666666666667</v>
      </c>
      <c r="V20" s="24">
        <f t="shared" si="0"/>
        <v>9.666666666666666</v>
      </c>
      <c r="W20" s="13">
        <f t="shared" si="0"/>
        <v>80.33333333333333</v>
      </c>
      <c r="X20" s="24">
        <f t="shared" si="0"/>
        <v>10.333333333333334</v>
      </c>
      <c r="Y20" s="13">
        <f t="shared" si="0"/>
        <v>77.33333333333333</v>
      </c>
      <c r="Z20" s="24">
        <f t="shared" si="0"/>
        <v>11</v>
      </c>
      <c r="AA20" s="13">
        <f t="shared" si="0"/>
        <v>81</v>
      </c>
      <c r="AB20" s="24">
        <f t="shared" si="0"/>
        <v>6</v>
      </c>
      <c r="AC20" s="13">
        <f t="shared" si="0"/>
        <v>88.66666666666667</v>
      </c>
      <c r="AD20" s="24">
        <f t="shared" si="0"/>
        <v>13.666666666666666</v>
      </c>
      <c r="AE20" s="13">
        <f t="shared" si="0"/>
        <v>40.333333333333336</v>
      </c>
      <c r="AF20" s="24">
        <f t="shared" si="0"/>
        <v>7.333333333333333</v>
      </c>
      <c r="AG20" s="13">
        <f t="shared" si="0"/>
        <v>44</v>
      </c>
      <c r="AH20" s="24">
        <f t="shared" si="0"/>
        <v>14.666666666666666</v>
      </c>
      <c r="AI20" s="13">
        <f t="shared" si="0"/>
        <v>44</v>
      </c>
      <c r="AJ20" s="24">
        <f t="shared" si="0"/>
        <v>30.333333333333332</v>
      </c>
      <c r="AK20" s="13">
        <f t="shared" si="0"/>
        <v>27.666666666666668</v>
      </c>
      <c r="AL20" s="24">
        <f t="shared" si="0"/>
        <v>8</v>
      </c>
      <c r="AM20" s="13">
        <f t="shared" si="0"/>
        <v>44</v>
      </c>
      <c r="AN20" s="24">
        <f t="shared" si="0"/>
        <v>0</v>
      </c>
      <c r="AO20" s="13">
        <f t="shared" si="0"/>
        <v>44.333333333333336</v>
      </c>
      <c r="AP20" s="24">
        <f t="shared" si="0"/>
        <v>9.666666666666666</v>
      </c>
      <c r="AQ20" s="13">
        <f t="shared" si="0"/>
        <v>50.333333333333336</v>
      </c>
      <c r="AR20" s="24">
        <f t="shared" si="0"/>
        <v>29.333333333333332</v>
      </c>
      <c r="AS20" s="13">
        <f t="shared" si="0"/>
        <v>39</v>
      </c>
      <c r="AT20" s="6" t="s">
        <v>1</v>
      </c>
      <c r="AU20" s="6" t="s">
        <v>1</v>
      </c>
      <c r="AV20" s="6" t="s">
        <v>1</v>
      </c>
      <c r="AW20" s="6" t="s">
        <v>1</v>
      </c>
      <c r="AX20" s="6" t="s">
        <v>1</v>
      </c>
      <c r="AY20" s="6" t="s">
        <v>1</v>
      </c>
      <c r="AZ20" s="6" t="s">
        <v>1</v>
      </c>
      <c r="BA20" s="6" t="s">
        <v>1</v>
      </c>
      <c r="BB20" s="6" t="s">
        <v>1</v>
      </c>
      <c r="BC20" s="6" t="s">
        <v>1</v>
      </c>
      <c r="BD20" s="6" t="s">
        <v>1</v>
      </c>
      <c r="BE20" s="6" t="s">
        <v>1</v>
      </c>
      <c r="BF20" s="6" t="s">
        <v>1</v>
      </c>
      <c r="BG20" s="6" t="s">
        <v>1</v>
      </c>
      <c r="BH20" s="6" t="s">
        <v>1</v>
      </c>
      <c r="BI20" s="6" t="s">
        <v>1</v>
      </c>
      <c r="BJ20" s="6" t="s">
        <v>1</v>
      </c>
      <c r="BK20" s="6" t="s">
        <v>1</v>
      </c>
      <c r="BL20" s="6" t="s">
        <v>1</v>
      </c>
      <c r="BM20" s="6" t="s">
        <v>1</v>
      </c>
      <c r="BN20" s="6"/>
      <c r="BO20" s="6"/>
      <c r="BP20" s="24">
        <f aca="true" t="shared" si="1" ref="BP20:DP20">AVERAGE(BP17:BP19)</f>
        <v>13</v>
      </c>
      <c r="BQ20" s="13">
        <f t="shared" si="1"/>
        <v>41.333333333333336</v>
      </c>
      <c r="BR20" s="24">
        <f t="shared" si="1"/>
        <v>1.3333333333333333</v>
      </c>
      <c r="BS20" s="13">
        <f t="shared" si="1"/>
        <v>44.666666666666664</v>
      </c>
      <c r="BT20" s="24">
        <f t="shared" si="1"/>
        <v>14</v>
      </c>
      <c r="BU20" s="13">
        <f t="shared" si="1"/>
        <v>43</v>
      </c>
      <c r="BV20" s="24">
        <f t="shared" si="1"/>
        <v>52.666666666666664</v>
      </c>
      <c r="BW20" s="13">
        <f t="shared" si="1"/>
        <v>26.333333333333332</v>
      </c>
      <c r="BX20" s="22" t="s">
        <v>1</v>
      </c>
      <c r="BY20" s="22" t="s">
        <v>1</v>
      </c>
      <c r="BZ20" s="24">
        <f t="shared" si="1"/>
        <v>11.333333333333334</v>
      </c>
      <c r="CA20" s="13">
        <f t="shared" si="1"/>
        <v>40</v>
      </c>
      <c r="CB20" s="21">
        <f t="shared" si="1"/>
        <v>-0.10000000000000002</v>
      </c>
      <c r="CC20" s="24">
        <f t="shared" si="1"/>
        <v>-3</v>
      </c>
      <c r="CD20" s="13">
        <f t="shared" si="1"/>
        <v>45.333333333333336</v>
      </c>
      <c r="CE20" s="21">
        <f t="shared" si="1"/>
        <v>-1.8666666666666665</v>
      </c>
      <c r="CF20" s="24">
        <f t="shared" si="1"/>
        <v>12.666666666666666</v>
      </c>
      <c r="CG20" s="13">
        <f t="shared" si="1"/>
        <v>42</v>
      </c>
      <c r="CH20" s="21">
        <f t="shared" si="1"/>
        <v>0.5666666666666667</v>
      </c>
      <c r="CI20" s="24">
        <f t="shared" si="1"/>
        <v>59.666666666666664</v>
      </c>
      <c r="CJ20" s="13">
        <f t="shared" si="1"/>
        <v>20.666666666666668</v>
      </c>
      <c r="CK20" s="21">
        <f t="shared" si="1"/>
        <v>5.5</v>
      </c>
      <c r="CL20" s="22" t="s">
        <v>1</v>
      </c>
      <c r="CM20" s="22" t="s">
        <v>1</v>
      </c>
      <c r="CN20" s="22" t="s">
        <v>1</v>
      </c>
      <c r="CO20" s="24">
        <f t="shared" si="1"/>
        <v>9.666666666666666</v>
      </c>
      <c r="CP20" s="13">
        <f t="shared" si="1"/>
        <v>76.66666666666667</v>
      </c>
      <c r="CQ20" s="24">
        <f t="shared" si="1"/>
        <v>13</v>
      </c>
      <c r="CR20" s="13">
        <f t="shared" si="1"/>
        <v>74.66666666666667</v>
      </c>
      <c r="CS20" s="24">
        <f t="shared" si="1"/>
        <v>11.333333333333334</v>
      </c>
      <c r="CT20" s="13">
        <f t="shared" si="1"/>
        <v>78.33333333333333</v>
      </c>
      <c r="CU20" s="24">
        <f t="shared" si="1"/>
        <v>-2.3333333333333335</v>
      </c>
      <c r="CV20" s="13">
        <f t="shared" si="1"/>
        <v>82.66666666666667</v>
      </c>
      <c r="CW20" s="22" t="s">
        <v>1</v>
      </c>
      <c r="CX20" s="22" t="s">
        <v>1</v>
      </c>
      <c r="CY20" s="24">
        <f t="shared" si="1"/>
        <v>13</v>
      </c>
      <c r="CZ20" s="13">
        <f t="shared" si="1"/>
        <v>40.666666666666664</v>
      </c>
      <c r="DA20" s="24">
        <f t="shared" si="1"/>
        <v>8.666666666666666</v>
      </c>
      <c r="DB20" s="13">
        <f t="shared" si="1"/>
        <v>41.666666666666664</v>
      </c>
      <c r="DC20" s="24">
        <f t="shared" si="1"/>
        <v>15.333333333333334</v>
      </c>
      <c r="DD20" s="13">
        <f t="shared" si="1"/>
        <v>42.333333333333336</v>
      </c>
      <c r="DE20" s="24">
        <f t="shared" si="1"/>
        <v>27</v>
      </c>
      <c r="DF20" s="13">
        <f t="shared" si="1"/>
        <v>35.666666666666664</v>
      </c>
      <c r="DG20" s="22" t="s">
        <v>1</v>
      </c>
      <c r="DH20" s="22" t="s">
        <v>1</v>
      </c>
      <c r="DI20" s="24">
        <f t="shared" si="1"/>
        <v>7.333333333333333</v>
      </c>
      <c r="DJ20" s="13">
        <f t="shared" si="1"/>
        <v>45.666666666666664</v>
      </c>
      <c r="DK20" s="24">
        <f t="shared" si="1"/>
        <v>0.3333333333333333</v>
      </c>
      <c r="DL20" s="13">
        <f t="shared" si="1"/>
        <v>46.333333333333336</v>
      </c>
      <c r="DM20" s="24">
        <f t="shared" si="1"/>
        <v>9.333333333333334</v>
      </c>
      <c r="DN20" s="13">
        <f t="shared" si="1"/>
        <v>47.333333333333336</v>
      </c>
      <c r="DO20" s="24">
        <f t="shared" si="1"/>
        <v>31.333333333333332</v>
      </c>
      <c r="DP20" s="13">
        <f t="shared" si="1"/>
        <v>40.333333333333336</v>
      </c>
      <c r="DQ20" s="22" t="s">
        <v>1</v>
      </c>
      <c r="DR20" s="22" t="s">
        <v>1</v>
      </c>
      <c r="DS20" s="6" t="s">
        <v>1</v>
      </c>
      <c r="DT20" s="6" t="s">
        <v>1</v>
      </c>
      <c r="DU20" s="6" t="s">
        <v>1</v>
      </c>
      <c r="DV20" s="6" t="s">
        <v>1</v>
      </c>
      <c r="DW20" s="6" t="s">
        <v>1</v>
      </c>
      <c r="DX20" s="6" t="s">
        <v>1</v>
      </c>
      <c r="DY20" s="6" t="s">
        <v>1</v>
      </c>
      <c r="DZ20" s="6" t="s">
        <v>1</v>
      </c>
      <c r="EA20" s="6" t="s">
        <v>1</v>
      </c>
      <c r="EB20" s="6" t="s">
        <v>1</v>
      </c>
      <c r="EC20" s="6" t="s">
        <v>1</v>
      </c>
      <c r="ED20" s="6" t="s">
        <v>1</v>
      </c>
      <c r="EE20" s="6" t="s">
        <v>1</v>
      </c>
      <c r="EF20" s="6" t="s">
        <v>1</v>
      </c>
      <c r="EG20" s="6" t="s">
        <v>1</v>
      </c>
      <c r="EH20" s="6" t="s">
        <v>1</v>
      </c>
      <c r="EI20" s="6" t="s">
        <v>1</v>
      </c>
      <c r="EJ20" s="6" t="s">
        <v>1</v>
      </c>
      <c r="EK20" s="6" t="s">
        <v>1</v>
      </c>
      <c r="EL20" s="6" t="s">
        <v>1</v>
      </c>
      <c r="EM20" s="6" t="s">
        <v>1</v>
      </c>
      <c r="EN20" s="6" t="s">
        <v>1</v>
      </c>
      <c r="EO20" s="6" t="s">
        <v>1</v>
      </c>
      <c r="EP20" s="6" t="s">
        <v>1</v>
      </c>
      <c r="EQ20" s="6" t="s">
        <v>1</v>
      </c>
    </row>
    <row r="21" spans="1:147" ht="12">
      <c r="A21" s="1" t="s">
        <v>35</v>
      </c>
      <c r="B21" s="24">
        <v>-8</v>
      </c>
      <c r="C21" s="8">
        <v>41</v>
      </c>
      <c r="D21" s="23">
        <v>-13</v>
      </c>
      <c r="E21" s="8">
        <v>45</v>
      </c>
      <c r="F21" s="23">
        <v>-7</v>
      </c>
      <c r="G21" s="8">
        <v>36</v>
      </c>
      <c r="H21" s="23">
        <v>6</v>
      </c>
      <c r="I21" s="8">
        <v>33</v>
      </c>
      <c r="J21" s="23">
        <v>17</v>
      </c>
      <c r="K21" s="8">
        <v>36</v>
      </c>
      <c r="L21" s="20">
        <v>1.3</v>
      </c>
      <c r="M21" s="23">
        <v>-2</v>
      </c>
      <c r="N21" s="8">
        <v>45</v>
      </c>
      <c r="O21" s="20">
        <v>-1.7</v>
      </c>
      <c r="P21" s="23">
        <v>16</v>
      </c>
      <c r="Q21" s="8">
        <v>32</v>
      </c>
      <c r="R21" s="20">
        <v>0.4</v>
      </c>
      <c r="S21" s="23">
        <v>73</v>
      </c>
      <c r="T21" s="8">
        <v>12</v>
      </c>
      <c r="U21" s="20">
        <v>10.8</v>
      </c>
      <c r="V21" s="23">
        <v>5</v>
      </c>
      <c r="W21" s="10">
        <v>81</v>
      </c>
      <c r="X21" s="23">
        <v>7</v>
      </c>
      <c r="Y21" s="10">
        <v>78</v>
      </c>
      <c r="Z21" s="23">
        <v>0</v>
      </c>
      <c r="AA21" s="10">
        <v>81</v>
      </c>
      <c r="AB21" s="23">
        <v>3</v>
      </c>
      <c r="AC21" s="10">
        <v>93</v>
      </c>
      <c r="AD21" s="23">
        <v>33</v>
      </c>
      <c r="AE21" s="10">
        <v>45</v>
      </c>
      <c r="AF21" s="23">
        <v>23</v>
      </c>
      <c r="AG21" s="10">
        <v>51</v>
      </c>
      <c r="AH21" s="23">
        <v>36</v>
      </c>
      <c r="AI21" s="10">
        <v>44</v>
      </c>
      <c r="AJ21" s="23">
        <v>62</v>
      </c>
      <c r="AK21" s="10">
        <v>28</v>
      </c>
      <c r="AL21" s="23"/>
      <c r="AM21" s="10"/>
      <c r="AN21" s="23"/>
      <c r="AO21" s="10"/>
      <c r="AP21" s="23"/>
      <c r="AQ21" s="10"/>
      <c r="AR21" s="23"/>
      <c r="AS21" s="10"/>
      <c r="AT21" s="6" t="s">
        <v>1</v>
      </c>
      <c r="AU21" s="6" t="s">
        <v>1</v>
      </c>
      <c r="AV21" s="6" t="s">
        <v>1</v>
      </c>
      <c r="AW21" s="6" t="s">
        <v>1</v>
      </c>
      <c r="AX21" s="6" t="s">
        <v>1</v>
      </c>
      <c r="AY21" s="6" t="s">
        <v>1</v>
      </c>
      <c r="AZ21" s="6" t="s">
        <v>1</v>
      </c>
      <c r="BA21" s="6" t="s">
        <v>1</v>
      </c>
      <c r="BB21" s="6" t="s">
        <v>1</v>
      </c>
      <c r="BC21" s="6" t="s">
        <v>1</v>
      </c>
      <c r="BD21" s="6" t="s">
        <v>1</v>
      </c>
      <c r="BE21" s="6" t="s">
        <v>1</v>
      </c>
      <c r="BF21" s="6" t="s">
        <v>1</v>
      </c>
      <c r="BG21" s="6" t="s">
        <v>1</v>
      </c>
      <c r="BH21" s="6" t="s">
        <v>1</v>
      </c>
      <c r="BI21" s="6" t="s">
        <v>1</v>
      </c>
      <c r="BJ21" s="6" t="s">
        <v>1</v>
      </c>
      <c r="BK21" s="6" t="s">
        <v>1</v>
      </c>
      <c r="BL21" s="6" t="s">
        <v>1</v>
      </c>
      <c r="BM21" s="6" t="s">
        <v>1</v>
      </c>
      <c r="BN21" s="6"/>
      <c r="BO21" s="6"/>
      <c r="BP21" s="24">
        <v>-9</v>
      </c>
      <c r="BQ21" s="8">
        <v>43</v>
      </c>
      <c r="BR21" s="24">
        <v>-13</v>
      </c>
      <c r="BS21" s="8">
        <v>45</v>
      </c>
      <c r="BT21" s="24">
        <v>-9</v>
      </c>
      <c r="BU21" s="8">
        <v>42</v>
      </c>
      <c r="BV21" s="24">
        <v>3</v>
      </c>
      <c r="BW21" s="8">
        <v>34</v>
      </c>
      <c r="BX21" s="22" t="s">
        <v>1</v>
      </c>
      <c r="BY21" s="22" t="s">
        <v>1</v>
      </c>
      <c r="BZ21" s="24">
        <v>13</v>
      </c>
      <c r="CA21" s="8">
        <v>43</v>
      </c>
      <c r="CB21" s="20">
        <v>0.6</v>
      </c>
      <c r="CC21" s="24">
        <v>2</v>
      </c>
      <c r="CD21" s="8">
        <v>49</v>
      </c>
      <c r="CE21" s="20">
        <v>-0.8</v>
      </c>
      <c r="CF21" s="24">
        <v>8</v>
      </c>
      <c r="CG21" s="8">
        <v>43</v>
      </c>
      <c r="CH21" s="20">
        <v>0</v>
      </c>
      <c r="CI21" s="24">
        <v>59</v>
      </c>
      <c r="CJ21" s="8">
        <v>22</v>
      </c>
      <c r="CK21" s="20">
        <v>6.3</v>
      </c>
      <c r="CL21" s="22" t="s">
        <v>1</v>
      </c>
      <c r="CM21" s="22" t="s">
        <v>1</v>
      </c>
      <c r="CN21" s="22" t="s">
        <v>1</v>
      </c>
      <c r="CO21" s="24">
        <v>8</v>
      </c>
      <c r="CP21" s="10">
        <v>81</v>
      </c>
      <c r="CQ21" s="24">
        <v>9</v>
      </c>
      <c r="CR21" s="10">
        <v>78</v>
      </c>
      <c r="CS21" s="24">
        <v>8</v>
      </c>
      <c r="CT21" s="10">
        <v>80</v>
      </c>
      <c r="CU21" s="24">
        <v>3</v>
      </c>
      <c r="CV21" s="10">
        <v>93</v>
      </c>
      <c r="CW21" s="22" t="s">
        <v>1</v>
      </c>
      <c r="CX21" s="22" t="s">
        <v>1</v>
      </c>
      <c r="CY21" s="24">
        <v>30</v>
      </c>
      <c r="CZ21" s="10">
        <v>48</v>
      </c>
      <c r="DA21" s="24">
        <v>23</v>
      </c>
      <c r="DB21" s="10">
        <v>52</v>
      </c>
      <c r="DC21" s="24">
        <v>31</v>
      </c>
      <c r="DD21" s="12">
        <v>47</v>
      </c>
      <c r="DE21" s="24">
        <v>57</v>
      </c>
      <c r="DF21" s="12">
        <v>34</v>
      </c>
      <c r="DG21" s="22" t="s">
        <v>1</v>
      </c>
      <c r="DH21" s="22" t="s">
        <v>1</v>
      </c>
      <c r="DI21" s="24"/>
      <c r="DJ21" s="12"/>
      <c r="DK21" s="24"/>
      <c r="DL21" s="12"/>
      <c r="DM21" s="24"/>
      <c r="DN21" s="12"/>
      <c r="DO21" s="24"/>
      <c r="DP21" s="12"/>
      <c r="DQ21" s="22" t="s">
        <v>1</v>
      </c>
      <c r="DR21" s="22" t="s">
        <v>1</v>
      </c>
      <c r="DS21" s="6" t="s">
        <v>1</v>
      </c>
      <c r="DT21" s="6" t="s">
        <v>1</v>
      </c>
      <c r="DU21" s="6" t="s">
        <v>1</v>
      </c>
      <c r="DV21" s="6" t="s">
        <v>1</v>
      </c>
      <c r="DW21" s="6" t="s">
        <v>1</v>
      </c>
      <c r="DX21" s="6" t="s">
        <v>1</v>
      </c>
      <c r="DY21" s="6" t="s">
        <v>1</v>
      </c>
      <c r="DZ21" s="6" t="s">
        <v>1</v>
      </c>
      <c r="EA21" s="6" t="s">
        <v>1</v>
      </c>
      <c r="EB21" s="6" t="s">
        <v>1</v>
      </c>
      <c r="EC21" s="6" t="s">
        <v>1</v>
      </c>
      <c r="ED21" s="6" t="s">
        <v>1</v>
      </c>
      <c r="EE21" s="6" t="s">
        <v>1</v>
      </c>
      <c r="EF21" s="6" t="s">
        <v>1</v>
      </c>
      <c r="EG21" s="6" t="s">
        <v>1</v>
      </c>
      <c r="EH21" s="6" t="s">
        <v>1</v>
      </c>
      <c r="EI21" s="6" t="s">
        <v>1</v>
      </c>
      <c r="EJ21" s="6" t="s">
        <v>1</v>
      </c>
      <c r="EK21" s="6" t="s">
        <v>1</v>
      </c>
      <c r="EL21" s="6" t="s">
        <v>1</v>
      </c>
      <c r="EM21" s="6" t="s">
        <v>1</v>
      </c>
      <c r="EN21" s="6" t="s">
        <v>1</v>
      </c>
      <c r="EO21" s="6" t="s">
        <v>1</v>
      </c>
      <c r="EP21" s="6" t="s">
        <v>1</v>
      </c>
      <c r="EQ21" s="6" t="s">
        <v>1</v>
      </c>
    </row>
    <row r="22" spans="1:147" ht="12">
      <c r="A22" s="1" t="s">
        <v>36</v>
      </c>
      <c r="B22" s="24">
        <v>21</v>
      </c>
      <c r="C22" s="8">
        <v>43</v>
      </c>
      <c r="D22" s="23">
        <v>9</v>
      </c>
      <c r="E22" s="8">
        <v>49</v>
      </c>
      <c r="F22" s="23">
        <v>18</v>
      </c>
      <c r="G22" s="8">
        <v>56</v>
      </c>
      <c r="H22" s="23">
        <v>62</v>
      </c>
      <c r="I22" s="8">
        <v>19</v>
      </c>
      <c r="J22" s="23">
        <v>21</v>
      </c>
      <c r="K22" s="8">
        <v>43</v>
      </c>
      <c r="L22" s="20">
        <v>1.8</v>
      </c>
      <c r="M22" s="23">
        <v>7</v>
      </c>
      <c r="N22" s="8">
        <v>48</v>
      </c>
      <c r="O22" s="20">
        <v>-0.1</v>
      </c>
      <c r="P22" s="23">
        <v>15</v>
      </c>
      <c r="Q22" s="8">
        <v>55</v>
      </c>
      <c r="R22" s="20">
        <v>0.5</v>
      </c>
      <c r="S22" s="23">
        <v>69</v>
      </c>
      <c r="T22" s="8">
        <v>19</v>
      </c>
      <c r="U22" s="20">
        <v>8.1</v>
      </c>
      <c r="V22" s="23">
        <v>11</v>
      </c>
      <c r="W22" s="10">
        <v>76</v>
      </c>
      <c r="X22" s="23">
        <v>3</v>
      </c>
      <c r="Y22" s="10">
        <v>81</v>
      </c>
      <c r="Z22" s="23">
        <v>8</v>
      </c>
      <c r="AA22" s="10">
        <v>84</v>
      </c>
      <c r="AB22" s="23">
        <v>38</v>
      </c>
      <c r="AC22" s="10">
        <v>55</v>
      </c>
      <c r="AD22" s="23">
        <v>16</v>
      </c>
      <c r="AE22" s="10">
        <v>50</v>
      </c>
      <c r="AF22" s="23">
        <v>10</v>
      </c>
      <c r="AG22" s="10">
        <v>51</v>
      </c>
      <c r="AH22" s="23">
        <v>5</v>
      </c>
      <c r="AI22" s="10">
        <v>57</v>
      </c>
      <c r="AJ22" s="23">
        <v>41</v>
      </c>
      <c r="AK22" s="10">
        <v>41</v>
      </c>
      <c r="AL22" s="23"/>
      <c r="AM22" s="10"/>
      <c r="AN22" s="23"/>
      <c r="AO22" s="10"/>
      <c r="AP22" s="23"/>
      <c r="AQ22" s="10"/>
      <c r="AR22" s="23"/>
      <c r="AS22" s="10"/>
      <c r="AT22" s="6" t="s">
        <v>1</v>
      </c>
      <c r="AU22" s="6" t="s">
        <v>1</v>
      </c>
      <c r="AV22" s="6" t="s">
        <v>1</v>
      </c>
      <c r="AW22" s="6" t="s">
        <v>1</v>
      </c>
      <c r="AX22" s="6" t="s">
        <v>1</v>
      </c>
      <c r="AY22" s="6" t="s">
        <v>1</v>
      </c>
      <c r="AZ22" s="6" t="s">
        <v>1</v>
      </c>
      <c r="BA22" s="6" t="s">
        <v>1</v>
      </c>
      <c r="BB22" s="6" t="s">
        <v>1</v>
      </c>
      <c r="BC22" s="6" t="s">
        <v>1</v>
      </c>
      <c r="BD22" s="6" t="s">
        <v>1</v>
      </c>
      <c r="BE22" s="6" t="s">
        <v>1</v>
      </c>
      <c r="BF22" s="6" t="s">
        <v>1</v>
      </c>
      <c r="BG22" s="6" t="s">
        <v>1</v>
      </c>
      <c r="BH22" s="6" t="s">
        <v>1</v>
      </c>
      <c r="BI22" s="6" t="s">
        <v>1</v>
      </c>
      <c r="BJ22" s="6" t="s">
        <v>1</v>
      </c>
      <c r="BK22" s="6" t="s">
        <v>1</v>
      </c>
      <c r="BL22" s="6" t="s">
        <v>1</v>
      </c>
      <c r="BM22" s="6" t="s">
        <v>1</v>
      </c>
      <c r="BN22" s="6"/>
      <c r="BO22" s="6"/>
      <c r="BP22" s="24">
        <v>18</v>
      </c>
      <c r="BQ22" s="8">
        <v>45</v>
      </c>
      <c r="BR22" s="24">
        <v>9</v>
      </c>
      <c r="BS22" s="8">
        <v>50</v>
      </c>
      <c r="BT22" s="24">
        <v>17</v>
      </c>
      <c r="BU22" s="8">
        <v>47</v>
      </c>
      <c r="BV22" s="24">
        <v>51</v>
      </c>
      <c r="BW22" s="8">
        <v>23</v>
      </c>
      <c r="BX22" s="22" t="s">
        <v>1</v>
      </c>
      <c r="BY22" s="22" t="s">
        <v>1</v>
      </c>
      <c r="BZ22" s="24">
        <v>21</v>
      </c>
      <c r="CA22" s="8">
        <v>43</v>
      </c>
      <c r="CB22" s="20">
        <v>1.4</v>
      </c>
      <c r="CC22" s="24">
        <v>11</v>
      </c>
      <c r="CD22" s="8">
        <v>48</v>
      </c>
      <c r="CE22" s="20">
        <v>0.1</v>
      </c>
      <c r="CF22" s="24">
        <v>19</v>
      </c>
      <c r="CG22" s="8">
        <v>45</v>
      </c>
      <c r="CH22" s="20">
        <v>1.1</v>
      </c>
      <c r="CI22" s="24">
        <v>57</v>
      </c>
      <c r="CJ22" s="8">
        <v>26</v>
      </c>
      <c r="CK22" s="20">
        <v>6.2</v>
      </c>
      <c r="CL22" s="22" t="s">
        <v>1</v>
      </c>
      <c r="CM22" s="22" t="s">
        <v>1</v>
      </c>
      <c r="CN22" s="22" t="s">
        <v>1</v>
      </c>
      <c r="CO22" s="24">
        <v>9</v>
      </c>
      <c r="CP22" s="10">
        <v>81</v>
      </c>
      <c r="CQ22" s="24">
        <v>7</v>
      </c>
      <c r="CR22" s="10">
        <v>81</v>
      </c>
      <c r="CS22" s="24">
        <v>9</v>
      </c>
      <c r="CT22" s="10">
        <v>82</v>
      </c>
      <c r="CU22" s="24">
        <v>13</v>
      </c>
      <c r="CV22" s="10">
        <v>83</v>
      </c>
      <c r="CW22" s="22" t="s">
        <v>1</v>
      </c>
      <c r="CX22" s="22" t="s">
        <v>1</v>
      </c>
      <c r="CY22" s="24">
        <v>18</v>
      </c>
      <c r="CZ22" s="10">
        <v>45</v>
      </c>
      <c r="DA22" s="24">
        <v>12</v>
      </c>
      <c r="DB22" s="10">
        <v>49</v>
      </c>
      <c r="DC22" s="24">
        <v>14</v>
      </c>
      <c r="DD22" s="12">
        <v>49</v>
      </c>
      <c r="DE22" s="24">
        <v>44</v>
      </c>
      <c r="DF22" s="12">
        <v>27</v>
      </c>
      <c r="DG22" s="22" t="s">
        <v>1</v>
      </c>
      <c r="DH22" s="22" t="s">
        <v>1</v>
      </c>
      <c r="DI22" s="24"/>
      <c r="DJ22" s="12"/>
      <c r="DK22" s="24"/>
      <c r="DL22" s="12"/>
      <c r="DM22" s="24"/>
      <c r="DN22" s="12"/>
      <c r="DO22" s="24"/>
      <c r="DP22" s="12"/>
      <c r="DQ22" s="22" t="s">
        <v>1</v>
      </c>
      <c r="DR22" s="22" t="s">
        <v>1</v>
      </c>
      <c r="DS22" s="6" t="s">
        <v>1</v>
      </c>
      <c r="DT22" s="6" t="s">
        <v>1</v>
      </c>
      <c r="DU22" s="6" t="s">
        <v>1</v>
      </c>
      <c r="DV22" s="6" t="s">
        <v>1</v>
      </c>
      <c r="DW22" s="6" t="s">
        <v>1</v>
      </c>
      <c r="DX22" s="6" t="s">
        <v>1</v>
      </c>
      <c r="DY22" s="6" t="s">
        <v>1</v>
      </c>
      <c r="DZ22" s="6" t="s">
        <v>1</v>
      </c>
      <c r="EA22" s="6" t="s">
        <v>1</v>
      </c>
      <c r="EB22" s="6" t="s">
        <v>1</v>
      </c>
      <c r="EC22" s="6" t="s">
        <v>1</v>
      </c>
      <c r="ED22" s="6" t="s">
        <v>1</v>
      </c>
      <c r="EE22" s="6" t="s">
        <v>1</v>
      </c>
      <c r="EF22" s="6" t="s">
        <v>1</v>
      </c>
      <c r="EG22" s="6" t="s">
        <v>1</v>
      </c>
      <c r="EH22" s="6" t="s">
        <v>1</v>
      </c>
      <c r="EI22" s="6" t="s">
        <v>1</v>
      </c>
      <c r="EJ22" s="6" t="s">
        <v>1</v>
      </c>
      <c r="EK22" s="6" t="s">
        <v>1</v>
      </c>
      <c r="EL22" s="6" t="s">
        <v>1</v>
      </c>
      <c r="EM22" s="6" t="s">
        <v>1</v>
      </c>
      <c r="EN22" s="6" t="s">
        <v>1</v>
      </c>
      <c r="EO22" s="6" t="s">
        <v>1</v>
      </c>
      <c r="EP22" s="6" t="s">
        <v>1</v>
      </c>
      <c r="EQ22" s="6" t="s">
        <v>1</v>
      </c>
    </row>
    <row r="23" spans="1:147" ht="12">
      <c r="A23" s="1" t="s">
        <v>32</v>
      </c>
      <c r="B23" s="24">
        <v>15</v>
      </c>
      <c r="C23" s="8">
        <v>47</v>
      </c>
      <c r="D23" s="23">
        <v>11</v>
      </c>
      <c r="E23" s="8">
        <v>46</v>
      </c>
      <c r="F23" s="23">
        <v>11</v>
      </c>
      <c r="G23" s="8">
        <v>44</v>
      </c>
      <c r="H23" s="23">
        <v>32</v>
      </c>
      <c r="I23" s="8">
        <v>48</v>
      </c>
      <c r="J23" s="23">
        <v>27</v>
      </c>
      <c r="K23" s="8">
        <v>36</v>
      </c>
      <c r="L23" s="20">
        <v>2.7</v>
      </c>
      <c r="M23" s="23">
        <v>14</v>
      </c>
      <c r="N23" s="8">
        <v>41</v>
      </c>
      <c r="O23" s="20">
        <v>1.2</v>
      </c>
      <c r="P23" s="23">
        <v>24</v>
      </c>
      <c r="Q23" s="8">
        <v>37</v>
      </c>
      <c r="R23" s="20">
        <v>1.7</v>
      </c>
      <c r="S23" s="23">
        <v>71</v>
      </c>
      <c r="T23" s="8">
        <v>19</v>
      </c>
      <c r="U23" s="20">
        <v>8.3</v>
      </c>
      <c r="V23" s="23">
        <v>12</v>
      </c>
      <c r="W23" s="10">
        <v>79</v>
      </c>
      <c r="X23" s="23">
        <v>14</v>
      </c>
      <c r="Y23" s="10">
        <v>78</v>
      </c>
      <c r="Z23" s="23">
        <v>15</v>
      </c>
      <c r="AA23" s="10">
        <v>80</v>
      </c>
      <c r="AB23" s="23">
        <v>5</v>
      </c>
      <c r="AC23" s="10">
        <v>84</v>
      </c>
      <c r="AD23" s="23">
        <v>37</v>
      </c>
      <c r="AE23" s="10">
        <v>36</v>
      </c>
      <c r="AF23" s="23">
        <v>30</v>
      </c>
      <c r="AG23" s="10">
        <v>40</v>
      </c>
      <c r="AH23" s="23">
        <v>37</v>
      </c>
      <c r="AI23" s="10">
        <v>34</v>
      </c>
      <c r="AJ23" s="23">
        <v>56</v>
      </c>
      <c r="AK23" s="10">
        <v>26</v>
      </c>
      <c r="AL23" s="23"/>
      <c r="AM23" s="10"/>
      <c r="AN23" s="23"/>
      <c r="AO23" s="10"/>
      <c r="AP23" s="23"/>
      <c r="AQ23" s="10"/>
      <c r="AR23" s="23"/>
      <c r="AS23" s="10"/>
      <c r="AT23" s="6" t="s">
        <v>1</v>
      </c>
      <c r="AU23" s="6" t="s">
        <v>1</v>
      </c>
      <c r="AV23" s="6" t="s">
        <v>1</v>
      </c>
      <c r="AW23" s="6" t="s">
        <v>1</v>
      </c>
      <c r="AX23" s="6" t="s">
        <v>1</v>
      </c>
      <c r="AY23" s="6" t="s">
        <v>1</v>
      </c>
      <c r="AZ23" s="6" t="s">
        <v>1</v>
      </c>
      <c r="BA23" s="6" t="s">
        <v>1</v>
      </c>
      <c r="BB23" s="6" t="s">
        <v>1</v>
      </c>
      <c r="BC23" s="6" t="s">
        <v>1</v>
      </c>
      <c r="BD23" s="6" t="s">
        <v>1</v>
      </c>
      <c r="BE23" s="6" t="s">
        <v>1</v>
      </c>
      <c r="BF23" s="6" t="s">
        <v>1</v>
      </c>
      <c r="BG23" s="6" t="s">
        <v>1</v>
      </c>
      <c r="BH23" s="6" t="s">
        <v>1</v>
      </c>
      <c r="BI23" s="6" t="s">
        <v>1</v>
      </c>
      <c r="BJ23" s="6" t="s">
        <v>1</v>
      </c>
      <c r="BK23" s="6" t="s">
        <v>1</v>
      </c>
      <c r="BL23" s="6" t="s">
        <v>1</v>
      </c>
      <c r="BM23" s="6" t="s">
        <v>1</v>
      </c>
      <c r="BN23" s="6"/>
      <c r="BO23" s="6"/>
      <c r="BP23" s="24">
        <v>4</v>
      </c>
      <c r="BQ23" s="8">
        <v>43</v>
      </c>
      <c r="BR23" s="24">
        <v>-6</v>
      </c>
      <c r="BS23" s="8">
        <v>46</v>
      </c>
      <c r="BT23" s="24">
        <v>2</v>
      </c>
      <c r="BU23" s="8">
        <v>45</v>
      </c>
      <c r="BV23" s="24">
        <v>41</v>
      </c>
      <c r="BW23" s="8">
        <v>32</v>
      </c>
      <c r="BX23" s="22" t="s">
        <v>1</v>
      </c>
      <c r="BY23" s="22" t="s">
        <v>1</v>
      </c>
      <c r="BZ23" s="24">
        <v>9</v>
      </c>
      <c r="CA23" s="8">
        <v>44</v>
      </c>
      <c r="CB23" s="20">
        <v>0.5</v>
      </c>
      <c r="CC23" s="24">
        <v>-1</v>
      </c>
      <c r="CD23" s="8">
        <v>49</v>
      </c>
      <c r="CE23" s="20">
        <v>-0.5</v>
      </c>
      <c r="CF23" s="24">
        <v>9</v>
      </c>
      <c r="CG23" s="8">
        <v>44</v>
      </c>
      <c r="CH23" s="20">
        <v>0.4</v>
      </c>
      <c r="CI23" s="24">
        <v>47</v>
      </c>
      <c r="CJ23" s="8">
        <v>25</v>
      </c>
      <c r="CK23" s="20">
        <v>4</v>
      </c>
      <c r="CL23" s="22" t="s">
        <v>1</v>
      </c>
      <c r="CM23" s="22" t="s">
        <v>1</v>
      </c>
      <c r="CN23" s="22" t="s">
        <v>1</v>
      </c>
      <c r="CO23" s="24">
        <v>11</v>
      </c>
      <c r="CP23" s="10">
        <v>82</v>
      </c>
      <c r="CQ23" s="24">
        <v>12</v>
      </c>
      <c r="CR23" s="10">
        <v>81</v>
      </c>
      <c r="CS23" s="24">
        <v>12</v>
      </c>
      <c r="CT23" s="10">
        <v>82</v>
      </c>
      <c r="CU23" s="24">
        <v>6</v>
      </c>
      <c r="CV23" s="10">
        <v>87</v>
      </c>
      <c r="CW23" s="22" t="s">
        <v>1</v>
      </c>
      <c r="CX23" s="22" t="s">
        <v>1</v>
      </c>
      <c r="CY23" s="24">
        <v>32</v>
      </c>
      <c r="CZ23" s="10">
        <v>37</v>
      </c>
      <c r="DA23" s="24">
        <v>32</v>
      </c>
      <c r="DB23" s="10">
        <v>39</v>
      </c>
      <c r="DC23" s="24">
        <v>35</v>
      </c>
      <c r="DD23" s="12">
        <v>38</v>
      </c>
      <c r="DE23" s="24">
        <v>31</v>
      </c>
      <c r="DF23" s="12">
        <v>27</v>
      </c>
      <c r="DG23" s="22" t="s">
        <v>1</v>
      </c>
      <c r="DH23" s="22" t="s">
        <v>1</v>
      </c>
      <c r="DI23" s="24"/>
      <c r="DJ23" s="12"/>
      <c r="DK23" s="24"/>
      <c r="DL23" s="12"/>
      <c r="DM23" s="24"/>
      <c r="DN23" s="12"/>
      <c r="DO23" s="24"/>
      <c r="DP23" s="12"/>
      <c r="DQ23" s="22" t="s">
        <v>1</v>
      </c>
      <c r="DR23" s="22" t="s">
        <v>1</v>
      </c>
      <c r="DS23" s="6" t="s">
        <v>1</v>
      </c>
      <c r="DT23" s="6" t="s">
        <v>1</v>
      </c>
      <c r="DU23" s="6" t="s">
        <v>1</v>
      </c>
      <c r="DV23" s="6" t="s">
        <v>1</v>
      </c>
      <c r="DW23" s="6" t="s">
        <v>1</v>
      </c>
      <c r="DX23" s="6" t="s">
        <v>1</v>
      </c>
      <c r="DY23" s="6" t="s">
        <v>1</v>
      </c>
      <c r="DZ23" s="6" t="s">
        <v>1</v>
      </c>
      <c r="EA23" s="6" t="s">
        <v>1</v>
      </c>
      <c r="EB23" s="6" t="s">
        <v>1</v>
      </c>
      <c r="EC23" s="6" t="s">
        <v>1</v>
      </c>
      <c r="ED23" s="6" t="s">
        <v>1</v>
      </c>
      <c r="EE23" s="6" t="s">
        <v>1</v>
      </c>
      <c r="EF23" s="6" t="s">
        <v>1</v>
      </c>
      <c r="EG23" s="6" t="s">
        <v>1</v>
      </c>
      <c r="EH23" s="6" t="s">
        <v>1</v>
      </c>
      <c r="EI23" s="6" t="s">
        <v>1</v>
      </c>
      <c r="EJ23" s="6" t="s">
        <v>1</v>
      </c>
      <c r="EK23" s="6" t="s">
        <v>1</v>
      </c>
      <c r="EL23" s="6" t="s">
        <v>1</v>
      </c>
      <c r="EM23" s="6" t="s">
        <v>1</v>
      </c>
      <c r="EN23" s="6" t="s">
        <v>1</v>
      </c>
      <c r="EO23" s="6" t="s">
        <v>1</v>
      </c>
      <c r="EP23" s="6" t="s">
        <v>1</v>
      </c>
      <c r="EQ23" s="6" t="s">
        <v>1</v>
      </c>
    </row>
    <row r="24" spans="1:147" ht="12">
      <c r="A24" s="1" t="s">
        <v>33</v>
      </c>
      <c r="B24" s="24">
        <v>25</v>
      </c>
      <c r="C24" s="8">
        <v>38</v>
      </c>
      <c r="D24" s="23">
        <v>18</v>
      </c>
      <c r="E24" s="8">
        <v>35</v>
      </c>
      <c r="F24" s="23">
        <v>35</v>
      </c>
      <c r="G24" s="8">
        <v>41</v>
      </c>
      <c r="H24" s="23">
        <v>38</v>
      </c>
      <c r="I24" s="8">
        <v>47</v>
      </c>
      <c r="J24" s="23">
        <v>15</v>
      </c>
      <c r="K24" s="8">
        <v>37</v>
      </c>
      <c r="L24" s="20">
        <v>1.2</v>
      </c>
      <c r="M24" s="23">
        <v>-2</v>
      </c>
      <c r="N24" s="8">
        <v>42</v>
      </c>
      <c r="O24" s="20">
        <v>-0.7</v>
      </c>
      <c r="P24" s="23">
        <v>14</v>
      </c>
      <c r="Q24" s="8">
        <v>45</v>
      </c>
      <c r="R24" s="20">
        <v>0.7</v>
      </c>
      <c r="S24" s="23">
        <v>66</v>
      </c>
      <c r="T24" s="8">
        <v>17</v>
      </c>
      <c r="U24" s="20">
        <v>7.5</v>
      </c>
      <c r="V24" s="23">
        <v>6</v>
      </c>
      <c r="W24" s="10">
        <v>84</v>
      </c>
      <c r="X24" s="23">
        <v>7</v>
      </c>
      <c r="Y24" s="10">
        <v>82</v>
      </c>
      <c r="Z24" s="23">
        <v>4</v>
      </c>
      <c r="AA24" s="10">
        <v>88</v>
      </c>
      <c r="AB24" s="23">
        <v>5</v>
      </c>
      <c r="AC24" s="10">
        <v>89</v>
      </c>
      <c r="AD24" s="23">
        <v>-2</v>
      </c>
      <c r="AE24" s="10">
        <v>49</v>
      </c>
      <c r="AF24" s="23">
        <v>-10</v>
      </c>
      <c r="AG24" s="10">
        <v>53</v>
      </c>
      <c r="AH24" s="23">
        <v>-12</v>
      </c>
      <c r="AI24" s="10">
        <v>45</v>
      </c>
      <c r="AJ24" s="23">
        <v>31</v>
      </c>
      <c r="AK24" s="10">
        <v>36</v>
      </c>
      <c r="AL24" s="23">
        <v>-4</v>
      </c>
      <c r="AM24" s="10">
        <v>52</v>
      </c>
      <c r="AN24" s="23">
        <v>-15</v>
      </c>
      <c r="AO24" s="10">
        <v>55</v>
      </c>
      <c r="AP24" s="23">
        <v>-7</v>
      </c>
      <c r="AQ24" s="10">
        <v>48</v>
      </c>
      <c r="AR24" s="23">
        <v>31</v>
      </c>
      <c r="AS24" s="10">
        <v>44</v>
      </c>
      <c r="AT24" s="6" t="s">
        <v>1</v>
      </c>
      <c r="AU24" s="6" t="s">
        <v>1</v>
      </c>
      <c r="AV24" s="6" t="s">
        <v>1</v>
      </c>
      <c r="AW24" s="6" t="s">
        <v>1</v>
      </c>
      <c r="AX24" s="6" t="s">
        <v>1</v>
      </c>
      <c r="AY24" s="6" t="s">
        <v>1</v>
      </c>
      <c r="AZ24" s="6" t="s">
        <v>1</v>
      </c>
      <c r="BA24" s="6" t="s">
        <v>1</v>
      </c>
      <c r="BB24" s="6" t="s">
        <v>1</v>
      </c>
      <c r="BC24" s="6" t="s">
        <v>1</v>
      </c>
      <c r="BD24" s="6" t="s">
        <v>1</v>
      </c>
      <c r="BE24" s="6" t="s">
        <v>1</v>
      </c>
      <c r="BF24" s="6" t="s">
        <v>1</v>
      </c>
      <c r="BG24" s="6" t="s">
        <v>1</v>
      </c>
      <c r="BH24" s="6" t="s">
        <v>1</v>
      </c>
      <c r="BI24" s="6" t="s">
        <v>1</v>
      </c>
      <c r="BJ24" s="6" t="s">
        <v>1</v>
      </c>
      <c r="BK24" s="6" t="s">
        <v>1</v>
      </c>
      <c r="BL24" s="6" t="s">
        <v>1</v>
      </c>
      <c r="BM24" s="6" t="s">
        <v>1</v>
      </c>
      <c r="BN24" s="6"/>
      <c r="BO24" s="6"/>
      <c r="BP24" s="24">
        <v>30</v>
      </c>
      <c r="BQ24" s="8">
        <v>35</v>
      </c>
      <c r="BR24" s="24">
        <v>22</v>
      </c>
      <c r="BS24" s="8">
        <v>37</v>
      </c>
      <c r="BT24" s="24">
        <v>28</v>
      </c>
      <c r="BU24" s="8">
        <v>36</v>
      </c>
      <c r="BV24" s="24">
        <v>58</v>
      </c>
      <c r="BW24" s="8">
        <v>28</v>
      </c>
      <c r="BX24" s="22" t="s">
        <v>1</v>
      </c>
      <c r="BY24" s="22" t="s">
        <v>1</v>
      </c>
      <c r="BZ24" s="24">
        <v>19</v>
      </c>
      <c r="CA24" s="8">
        <v>37</v>
      </c>
      <c r="CB24" s="20">
        <v>0.7</v>
      </c>
      <c r="CC24" s="24">
        <v>8</v>
      </c>
      <c r="CD24" s="8">
        <v>41</v>
      </c>
      <c r="CE24" s="20">
        <v>-0.4</v>
      </c>
      <c r="CF24" s="24">
        <v>16</v>
      </c>
      <c r="CG24" s="8">
        <v>40</v>
      </c>
      <c r="CH24" s="20">
        <v>0.8</v>
      </c>
      <c r="CI24" s="24">
        <v>60</v>
      </c>
      <c r="CJ24" s="8">
        <v>20</v>
      </c>
      <c r="CK24" s="20">
        <v>4.6</v>
      </c>
      <c r="CL24" s="22" t="s">
        <v>1</v>
      </c>
      <c r="CM24" s="22" t="s">
        <v>1</v>
      </c>
      <c r="CN24" s="22" t="s">
        <v>1</v>
      </c>
      <c r="CO24" s="24">
        <v>8</v>
      </c>
      <c r="CP24" s="10">
        <v>80</v>
      </c>
      <c r="CQ24" s="24">
        <v>8</v>
      </c>
      <c r="CR24" s="10">
        <v>78</v>
      </c>
      <c r="CS24" s="24">
        <v>10</v>
      </c>
      <c r="CT24" s="10">
        <v>80</v>
      </c>
      <c r="CU24" s="24">
        <v>6</v>
      </c>
      <c r="CV24" s="10">
        <v>90</v>
      </c>
      <c r="CW24" s="22" t="s">
        <v>1</v>
      </c>
      <c r="CX24" s="22" t="s">
        <v>1</v>
      </c>
      <c r="CY24" s="24">
        <v>-3</v>
      </c>
      <c r="CZ24" s="10">
        <v>49</v>
      </c>
      <c r="DA24" s="24">
        <v>-4</v>
      </c>
      <c r="DB24" s="10">
        <v>53</v>
      </c>
      <c r="DC24" s="24">
        <v>-1</v>
      </c>
      <c r="DD24" s="12">
        <v>51</v>
      </c>
      <c r="DE24" s="24">
        <v>-3</v>
      </c>
      <c r="DF24" s="12">
        <v>31</v>
      </c>
      <c r="DG24" s="22" t="s">
        <v>1</v>
      </c>
      <c r="DH24" s="22" t="s">
        <v>1</v>
      </c>
      <c r="DI24" s="24">
        <v>-4</v>
      </c>
      <c r="DJ24" s="12">
        <v>55</v>
      </c>
      <c r="DK24" s="24">
        <v>-7</v>
      </c>
      <c r="DL24" s="12">
        <v>59</v>
      </c>
      <c r="DM24" s="24">
        <v>-4</v>
      </c>
      <c r="DN24" s="12">
        <v>56</v>
      </c>
      <c r="DO24" s="24">
        <v>4</v>
      </c>
      <c r="DP24" s="12">
        <v>41</v>
      </c>
      <c r="DQ24" s="22" t="s">
        <v>1</v>
      </c>
      <c r="DR24" s="22" t="s">
        <v>1</v>
      </c>
      <c r="DS24" s="6" t="s">
        <v>1</v>
      </c>
      <c r="DT24" s="6" t="s">
        <v>1</v>
      </c>
      <c r="DU24" s="6" t="s">
        <v>1</v>
      </c>
      <c r="DV24" s="6" t="s">
        <v>1</v>
      </c>
      <c r="DW24" s="6" t="s">
        <v>1</v>
      </c>
      <c r="DX24" s="6" t="s">
        <v>1</v>
      </c>
      <c r="DY24" s="6" t="s">
        <v>1</v>
      </c>
      <c r="DZ24" s="6" t="s">
        <v>1</v>
      </c>
      <c r="EA24" s="6" t="s">
        <v>1</v>
      </c>
      <c r="EB24" s="6" t="s">
        <v>1</v>
      </c>
      <c r="EC24" s="6" t="s">
        <v>1</v>
      </c>
      <c r="ED24" s="6" t="s">
        <v>1</v>
      </c>
      <c r="EE24" s="6" t="s">
        <v>1</v>
      </c>
      <c r="EF24" s="6" t="s">
        <v>1</v>
      </c>
      <c r="EG24" s="6" t="s">
        <v>1</v>
      </c>
      <c r="EH24" s="6" t="s">
        <v>1</v>
      </c>
      <c r="EI24" s="6" t="s">
        <v>1</v>
      </c>
      <c r="EJ24" s="6" t="s">
        <v>1</v>
      </c>
      <c r="EK24" s="6" t="s">
        <v>1</v>
      </c>
      <c r="EL24" s="6" t="s">
        <v>1</v>
      </c>
      <c r="EM24" s="6" t="s">
        <v>1</v>
      </c>
      <c r="EN24" s="6" t="s">
        <v>1</v>
      </c>
      <c r="EO24" s="6" t="s">
        <v>1</v>
      </c>
      <c r="EP24" s="6" t="s">
        <v>1</v>
      </c>
      <c r="EQ24" s="6" t="s">
        <v>1</v>
      </c>
    </row>
    <row r="25" spans="1:147" ht="12">
      <c r="A25" s="1" t="s">
        <v>37</v>
      </c>
      <c r="B25" s="24">
        <f aca="true" t="shared" si="2" ref="B25:AS25">AVERAGE(B21:B24)</f>
        <v>13.25</v>
      </c>
      <c r="C25" s="13">
        <f t="shared" si="2"/>
        <v>42.25</v>
      </c>
      <c r="D25" s="24">
        <f t="shared" si="2"/>
        <v>6.25</v>
      </c>
      <c r="E25" s="13">
        <f t="shared" si="2"/>
        <v>43.75</v>
      </c>
      <c r="F25" s="24">
        <f t="shared" si="2"/>
        <v>14.25</v>
      </c>
      <c r="G25" s="13">
        <f t="shared" si="2"/>
        <v>44.25</v>
      </c>
      <c r="H25" s="24">
        <f t="shared" si="2"/>
        <v>34.5</v>
      </c>
      <c r="I25" s="13">
        <f t="shared" si="2"/>
        <v>36.75</v>
      </c>
      <c r="J25" s="24">
        <f t="shared" si="2"/>
        <v>20</v>
      </c>
      <c r="K25" s="13">
        <f t="shared" si="2"/>
        <v>38</v>
      </c>
      <c r="L25" s="21">
        <f t="shared" si="2"/>
        <v>1.7500000000000002</v>
      </c>
      <c r="M25" s="24">
        <f t="shared" si="2"/>
        <v>4.25</v>
      </c>
      <c r="N25" s="13">
        <f t="shared" si="2"/>
        <v>44</v>
      </c>
      <c r="O25" s="21">
        <f t="shared" si="2"/>
        <v>-0.325</v>
      </c>
      <c r="P25" s="24">
        <f t="shared" si="2"/>
        <v>17.25</v>
      </c>
      <c r="Q25" s="13">
        <f t="shared" si="2"/>
        <v>42.25</v>
      </c>
      <c r="R25" s="21">
        <f t="shared" si="2"/>
        <v>0.825</v>
      </c>
      <c r="S25" s="24">
        <f t="shared" si="2"/>
        <v>69.75</v>
      </c>
      <c r="T25" s="13">
        <f t="shared" si="2"/>
        <v>16.75</v>
      </c>
      <c r="U25" s="21">
        <f t="shared" si="2"/>
        <v>8.675</v>
      </c>
      <c r="V25" s="24">
        <f t="shared" si="2"/>
        <v>8.5</v>
      </c>
      <c r="W25" s="13">
        <f t="shared" si="2"/>
        <v>80</v>
      </c>
      <c r="X25" s="24">
        <f t="shared" si="2"/>
        <v>7.75</v>
      </c>
      <c r="Y25" s="13">
        <f t="shared" si="2"/>
        <v>79.75</v>
      </c>
      <c r="Z25" s="24">
        <f t="shared" si="2"/>
        <v>6.75</v>
      </c>
      <c r="AA25" s="13">
        <f t="shared" si="2"/>
        <v>83.25</v>
      </c>
      <c r="AB25" s="24">
        <f t="shared" si="2"/>
        <v>12.75</v>
      </c>
      <c r="AC25" s="13">
        <f t="shared" si="2"/>
        <v>80.25</v>
      </c>
      <c r="AD25" s="24">
        <f t="shared" si="2"/>
        <v>21</v>
      </c>
      <c r="AE25" s="13">
        <f t="shared" si="2"/>
        <v>45</v>
      </c>
      <c r="AF25" s="24">
        <f t="shared" si="2"/>
        <v>13.25</v>
      </c>
      <c r="AG25" s="13">
        <f t="shared" si="2"/>
        <v>48.75</v>
      </c>
      <c r="AH25" s="24">
        <f t="shared" si="2"/>
        <v>16.5</v>
      </c>
      <c r="AI25" s="13">
        <f t="shared" si="2"/>
        <v>45</v>
      </c>
      <c r="AJ25" s="24">
        <f t="shared" si="2"/>
        <v>47.5</v>
      </c>
      <c r="AK25" s="13">
        <f t="shared" si="2"/>
        <v>32.75</v>
      </c>
      <c r="AL25" s="24">
        <f t="shared" si="2"/>
        <v>-4</v>
      </c>
      <c r="AM25" s="13">
        <f t="shared" si="2"/>
        <v>52</v>
      </c>
      <c r="AN25" s="24">
        <f t="shared" si="2"/>
        <v>-15</v>
      </c>
      <c r="AO25" s="13">
        <f t="shared" si="2"/>
        <v>55</v>
      </c>
      <c r="AP25" s="24">
        <f t="shared" si="2"/>
        <v>-7</v>
      </c>
      <c r="AQ25" s="13">
        <f t="shared" si="2"/>
        <v>48</v>
      </c>
      <c r="AR25" s="24">
        <f t="shared" si="2"/>
        <v>31</v>
      </c>
      <c r="AS25" s="13">
        <f t="shared" si="2"/>
        <v>44</v>
      </c>
      <c r="AT25" s="6" t="s">
        <v>1</v>
      </c>
      <c r="AU25" s="6" t="s">
        <v>1</v>
      </c>
      <c r="AV25" s="6" t="s">
        <v>1</v>
      </c>
      <c r="AW25" s="6" t="s">
        <v>1</v>
      </c>
      <c r="AX25" s="6" t="s">
        <v>1</v>
      </c>
      <c r="AY25" s="6" t="s">
        <v>1</v>
      </c>
      <c r="AZ25" s="6" t="s">
        <v>1</v>
      </c>
      <c r="BA25" s="6" t="s">
        <v>1</v>
      </c>
      <c r="BB25" s="6" t="s">
        <v>1</v>
      </c>
      <c r="BC25" s="6" t="s">
        <v>1</v>
      </c>
      <c r="BD25" s="6" t="s">
        <v>1</v>
      </c>
      <c r="BE25" s="6" t="s">
        <v>1</v>
      </c>
      <c r="BF25" s="6" t="s">
        <v>1</v>
      </c>
      <c r="BG25" s="6" t="s">
        <v>1</v>
      </c>
      <c r="BH25" s="6" t="s">
        <v>1</v>
      </c>
      <c r="BI25" s="6" t="s">
        <v>1</v>
      </c>
      <c r="BJ25" s="6" t="s">
        <v>1</v>
      </c>
      <c r="BK25" s="6" t="s">
        <v>1</v>
      </c>
      <c r="BL25" s="6" t="s">
        <v>1</v>
      </c>
      <c r="BM25" s="6" t="s">
        <v>1</v>
      </c>
      <c r="BN25" s="6"/>
      <c r="BO25" s="6"/>
      <c r="BP25" s="24">
        <f aca="true" t="shared" si="3" ref="BP25:DP25">AVERAGE(BP21:BP24)</f>
        <v>10.75</v>
      </c>
      <c r="BQ25" s="13">
        <f t="shared" si="3"/>
        <v>41.5</v>
      </c>
      <c r="BR25" s="24">
        <f t="shared" si="3"/>
        <v>3</v>
      </c>
      <c r="BS25" s="13">
        <f t="shared" si="3"/>
        <v>44.5</v>
      </c>
      <c r="BT25" s="24">
        <f t="shared" si="3"/>
        <v>9.5</v>
      </c>
      <c r="BU25" s="13">
        <f t="shared" si="3"/>
        <v>42.5</v>
      </c>
      <c r="BV25" s="24">
        <f t="shared" si="3"/>
        <v>38.25</v>
      </c>
      <c r="BW25" s="13">
        <f t="shared" si="3"/>
        <v>29.25</v>
      </c>
      <c r="BX25" s="22" t="s">
        <v>1</v>
      </c>
      <c r="BY25" s="22" t="s">
        <v>1</v>
      </c>
      <c r="BZ25" s="24">
        <f t="shared" si="3"/>
        <v>15.5</v>
      </c>
      <c r="CA25" s="13">
        <f t="shared" si="3"/>
        <v>41.75</v>
      </c>
      <c r="CB25" s="21">
        <f t="shared" si="3"/>
        <v>0.8</v>
      </c>
      <c r="CC25" s="24">
        <f t="shared" si="3"/>
        <v>5</v>
      </c>
      <c r="CD25" s="13">
        <f t="shared" si="3"/>
        <v>46.75</v>
      </c>
      <c r="CE25" s="21">
        <f t="shared" si="3"/>
        <v>-0.4</v>
      </c>
      <c r="CF25" s="24">
        <f t="shared" si="3"/>
        <v>13</v>
      </c>
      <c r="CG25" s="13">
        <f t="shared" si="3"/>
        <v>43</v>
      </c>
      <c r="CH25" s="21">
        <f t="shared" si="3"/>
        <v>0.575</v>
      </c>
      <c r="CI25" s="24">
        <f t="shared" si="3"/>
        <v>55.75</v>
      </c>
      <c r="CJ25" s="13">
        <f t="shared" si="3"/>
        <v>23.25</v>
      </c>
      <c r="CK25" s="21">
        <f t="shared" si="3"/>
        <v>5.275</v>
      </c>
      <c r="CL25" s="22" t="s">
        <v>1</v>
      </c>
      <c r="CM25" s="22" t="s">
        <v>1</v>
      </c>
      <c r="CN25" s="22" t="s">
        <v>1</v>
      </c>
      <c r="CO25" s="24">
        <f t="shared" si="3"/>
        <v>9</v>
      </c>
      <c r="CP25" s="13">
        <f t="shared" si="3"/>
        <v>81</v>
      </c>
      <c r="CQ25" s="24">
        <f t="shared" si="3"/>
        <v>9</v>
      </c>
      <c r="CR25" s="13">
        <f t="shared" si="3"/>
        <v>79.5</v>
      </c>
      <c r="CS25" s="24">
        <f t="shared" si="3"/>
        <v>9.75</v>
      </c>
      <c r="CT25" s="13">
        <f t="shared" si="3"/>
        <v>81</v>
      </c>
      <c r="CU25" s="24">
        <f t="shared" si="3"/>
        <v>7</v>
      </c>
      <c r="CV25" s="13">
        <f t="shared" si="3"/>
        <v>88.25</v>
      </c>
      <c r="CW25" s="22" t="s">
        <v>1</v>
      </c>
      <c r="CX25" s="22" t="s">
        <v>1</v>
      </c>
      <c r="CY25" s="24">
        <f t="shared" si="3"/>
        <v>19.25</v>
      </c>
      <c r="CZ25" s="13">
        <f t="shared" si="3"/>
        <v>44.75</v>
      </c>
      <c r="DA25" s="24">
        <f t="shared" si="3"/>
        <v>15.75</v>
      </c>
      <c r="DB25" s="13">
        <f t="shared" si="3"/>
        <v>48.25</v>
      </c>
      <c r="DC25" s="24">
        <f t="shared" si="3"/>
        <v>19.75</v>
      </c>
      <c r="DD25" s="13">
        <f t="shared" si="3"/>
        <v>46.25</v>
      </c>
      <c r="DE25" s="24">
        <f t="shared" si="3"/>
        <v>32.25</v>
      </c>
      <c r="DF25" s="13">
        <f t="shared" si="3"/>
        <v>29.75</v>
      </c>
      <c r="DG25" s="22" t="s">
        <v>1</v>
      </c>
      <c r="DH25" s="22" t="s">
        <v>1</v>
      </c>
      <c r="DI25" s="24">
        <f t="shared" si="3"/>
        <v>-4</v>
      </c>
      <c r="DJ25" s="13">
        <f t="shared" si="3"/>
        <v>55</v>
      </c>
      <c r="DK25" s="24">
        <f t="shared" si="3"/>
        <v>-7</v>
      </c>
      <c r="DL25" s="13">
        <f t="shared" si="3"/>
        <v>59</v>
      </c>
      <c r="DM25" s="24">
        <f t="shared" si="3"/>
        <v>-4</v>
      </c>
      <c r="DN25" s="13">
        <f t="shared" si="3"/>
        <v>56</v>
      </c>
      <c r="DO25" s="24">
        <f t="shared" si="3"/>
        <v>4</v>
      </c>
      <c r="DP25" s="13">
        <f t="shared" si="3"/>
        <v>41</v>
      </c>
      <c r="DQ25" s="22" t="s">
        <v>1</v>
      </c>
      <c r="DR25" s="22" t="s">
        <v>1</v>
      </c>
      <c r="DS25" s="6" t="s">
        <v>1</v>
      </c>
      <c r="DT25" s="6" t="s">
        <v>1</v>
      </c>
      <c r="DU25" s="6" t="s">
        <v>1</v>
      </c>
      <c r="DV25" s="6" t="s">
        <v>1</v>
      </c>
      <c r="DW25" s="6" t="s">
        <v>1</v>
      </c>
      <c r="DX25" s="6" t="s">
        <v>1</v>
      </c>
      <c r="DY25" s="6" t="s">
        <v>1</v>
      </c>
      <c r="DZ25" s="6" t="s">
        <v>1</v>
      </c>
      <c r="EA25" s="6" t="s">
        <v>1</v>
      </c>
      <c r="EB25" s="6" t="s">
        <v>1</v>
      </c>
      <c r="EC25" s="6" t="s">
        <v>1</v>
      </c>
      <c r="ED25" s="6" t="s">
        <v>1</v>
      </c>
      <c r="EE25" s="6" t="s">
        <v>1</v>
      </c>
      <c r="EF25" s="6" t="s">
        <v>1</v>
      </c>
      <c r="EG25" s="6" t="s">
        <v>1</v>
      </c>
      <c r="EH25" s="6" t="s">
        <v>1</v>
      </c>
      <c r="EI25" s="6" t="s">
        <v>1</v>
      </c>
      <c r="EJ25" s="6" t="s">
        <v>1</v>
      </c>
      <c r="EK25" s="6" t="s">
        <v>1</v>
      </c>
      <c r="EL25" s="6" t="s">
        <v>1</v>
      </c>
      <c r="EM25" s="6" t="s">
        <v>1</v>
      </c>
      <c r="EN25" s="6" t="s">
        <v>1</v>
      </c>
      <c r="EO25" s="6" t="s">
        <v>1</v>
      </c>
      <c r="EP25" s="6" t="s">
        <v>1</v>
      </c>
      <c r="EQ25" s="6" t="s">
        <v>1</v>
      </c>
    </row>
    <row r="26" spans="1:147" ht="12">
      <c r="A26" s="1" t="s">
        <v>38</v>
      </c>
      <c r="B26" s="24">
        <v>-22</v>
      </c>
      <c r="C26" s="8">
        <v>36</v>
      </c>
      <c r="D26" s="23">
        <v>-20</v>
      </c>
      <c r="E26" s="8">
        <v>38</v>
      </c>
      <c r="F26" s="23">
        <v>-14</v>
      </c>
      <c r="G26" s="8">
        <v>46</v>
      </c>
      <c r="H26" s="23">
        <v>-31</v>
      </c>
      <c r="I26" s="8">
        <v>24</v>
      </c>
      <c r="J26" s="23">
        <v>9</v>
      </c>
      <c r="K26" s="8">
        <v>37</v>
      </c>
      <c r="L26" s="20">
        <v>-0.1</v>
      </c>
      <c r="M26" s="23">
        <v>-2</v>
      </c>
      <c r="N26" s="8">
        <v>35</v>
      </c>
      <c r="O26" s="20">
        <v>-1.1</v>
      </c>
      <c r="P26" s="23">
        <v>2</v>
      </c>
      <c r="Q26" s="8">
        <v>47</v>
      </c>
      <c r="R26" s="20">
        <v>-0.4</v>
      </c>
      <c r="S26" s="23">
        <v>40</v>
      </c>
      <c r="T26" s="8">
        <v>37</v>
      </c>
      <c r="U26" s="20">
        <v>2.6</v>
      </c>
      <c r="V26" s="23">
        <v>12</v>
      </c>
      <c r="W26" s="10">
        <v>81</v>
      </c>
      <c r="X26" s="23">
        <v>12</v>
      </c>
      <c r="Y26" s="10">
        <v>77</v>
      </c>
      <c r="Z26" s="23">
        <v>18</v>
      </c>
      <c r="AA26" s="10">
        <v>80</v>
      </c>
      <c r="AB26" s="23">
        <v>8</v>
      </c>
      <c r="AC26" s="10">
        <v>92</v>
      </c>
      <c r="AD26" s="23">
        <v>28</v>
      </c>
      <c r="AE26" s="10">
        <v>48</v>
      </c>
      <c r="AF26" s="23">
        <v>24</v>
      </c>
      <c r="AG26" s="10">
        <v>46</v>
      </c>
      <c r="AH26" s="23">
        <v>27</v>
      </c>
      <c r="AI26" s="10">
        <v>53</v>
      </c>
      <c r="AJ26" s="23">
        <v>39</v>
      </c>
      <c r="AK26" s="10">
        <v>53</v>
      </c>
      <c r="AL26" s="23">
        <v>10</v>
      </c>
      <c r="AM26" s="10">
        <v>54</v>
      </c>
      <c r="AN26" s="23">
        <v>5</v>
      </c>
      <c r="AO26" s="10">
        <v>51</v>
      </c>
      <c r="AP26" s="23">
        <v>4</v>
      </c>
      <c r="AQ26" s="10">
        <v>59</v>
      </c>
      <c r="AR26" s="23">
        <v>28</v>
      </c>
      <c r="AS26" s="10">
        <v>57</v>
      </c>
      <c r="AT26" s="6" t="s">
        <v>1</v>
      </c>
      <c r="AU26" s="6" t="s">
        <v>1</v>
      </c>
      <c r="AV26" s="6" t="s">
        <v>1</v>
      </c>
      <c r="AW26" s="6" t="s">
        <v>1</v>
      </c>
      <c r="AX26" s="6" t="s">
        <v>1</v>
      </c>
      <c r="AY26" s="6" t="s">
        <v>1</v>
      </c>
      <c r="AZ26" s="6" t="s">
        <v>1</v>
      </c>
      <c r="BA26" s="6" t="s">
        <v>1</v>
      </c>
      <c r="BB26" s="6" t="s">
        <v>1</v>
      </c>
      <c r="BC26" s="6" t="s">
        <v>1</v>
      </c>
      <c r="BD26" s="6" t="s">
        <v>1</v>
      </c>
      <c r="BE26" s="6" t="s">
        <v>1</v>
      </c>
      <c r="BF26" s="6" t="s">
        <v>1</v>
      </c>
      <c r="BG26" s="6" t="s">
        <v>1</v>
      </c>
      <c r="BH26" s="6" t="s">
        <v>1</v>
      </c>
      <c r="BI26" s="6" t="s">
        <v>1</v>
      </c>
      <c r="BJ26" s="6" t="s">
        <v>1</v>
      </c>
      <c r="BK26" s="6" t="s">
        <v>1</v>
      </c>
      <c r="BL26" s="6" t="s">
        <v>1</v>
      </c>
      <c r="BM26" s="6" t="s">
        <v>1</v>
      </c>
      <c r="BN26" s="6"/>
      <c r="BO26" s="6"/>
      <c r="BP26" s="24">
        <v>-22</v>
      </c>
      <c r="BQ26" s="8">
        <v>41</v>
      </c>
      <c r="BR26" s="24">
        <v>-25</v>
      </c>
      <c r="BS26" s="8">
        <v>45</v>
      </c>
      <c r="BT26" s="24">
        <v>-19</v>
      </c>
      <c r="BU26" s="8">
        <v>41</v>
      </c>
      <c r="BV26" s="24">
        <v>-15</v>
      </c>
      <c r="BW26" s="8">
        <v>30</v>
      </c>
      <c r="BX26" s="22" t="s">
        <v>1</v>
      </c>
      <c r="BY26" s="22" t="s">
        <v>1</v>
      </c>
      <c r="BZ26" s="24">
        <v>4</v>
      </c>
      <c r="CA26" s="8">
        <v>38</v>
      </c>
      <c r="CB26" s="20">
        <v>-0.6</v>
      </c>
      <c r="CC26" s="24">
        <v>-7</v>
      </c>
      <c r="CD26" s="8">
        <v>42</v>
      </c>
      <c r="CE26" s="20">
        <v>-1.5</v>
      </c>
      <c r="CF26" s="24">
        <v>-1</v>
      </c>
      <c r="CG26" s="8">
        <v>39</v>
      </c>
      <c r="CH26" s="20">
        <v>-0.8</v>
      </c>
      <c r="CI26" s="24">
        <v>39</v>
      </c>
      <c r="CJ26" s="8">
        <v>26</v>
      </c>
      <c r="CK26" s="20">
        <v>2.3</v>
      </c>
      <c r="CL26" s="22" t="s">
        <v>1</v>
      </c>
      <c r="CM26" s="22" t="s">
        <v>1</v>
      </c>
      <c r="CN26" s="22" t="s">
        <v>1</v>
      </c>
      <c r="CO26" s="24">
        <v>10</v>
      </c>
      <c r="CP26" s="10">
        <v>83</v>
      </c>
      <c r="CQ26" s="24">
        <v>11</v>
      </c>
      <c r="CR26" s="10">
        <v>80</v>
      </c>
      <c r="CS26" s="24">
        <v>13</v>
      </c>
      <c r="CT26" s="10">
        <v>80</v>
      </c>
      <c r="CU26" s="24">
        <v>4</v>
      </c>
      <c r="CV26" s="10">
        <v>94</v>
      </c>
      <c r="CW26" s="22" t="s">
        <v>1</v>
      </c>
      <c r="CX26" s="22" t="s">
        <v>1</v>
      </c>
      <c r="CY26" s="24">
        <v>28</v>
      </c>
      <c r="CZ26" s="10">
        <v>49</v>
      </c>
      <c r="DA26" s="24">
        <v>24</v>
      </c>
      <c r="DB26" s="10">
        <v>49</v>
      </c>
      <c r="DC26" s="24">
        <v>28</v>
      </c>
      <c r="DD26" s="12">
        <v>47</v>
      </c>
      <c r="DE26" s="24">
        <v>42</v>
      </c>
      <c r="DF26" s="12">
        <v>51</v>
      </c>
      <c r="DG26" s="22" t="s">
        <v>1</v>
      </c>
      <c r="DH26" s="22" t="s">
        <v>1</v>
      </c>
      <c r="DI26" s="24">
        <v>17</v>
      </c>
      <c r="DJ26" s="12">
        <v>54</v>
      </c>
      <c r="DK26" s="24">
        <v>11</v>
      </c>
      <c r="DL26" s="12">
        <v>55</v>
      </c>
      <c r="DM26" s="24">
        <v>16</v>
      </c>
      <c r="DN26" s="12">
        <v>53</v>
      </c>
      <c r="DO26" s="24">
        <v>36</v>
      </c>
      <c r="DP26" s="12">
        <v>54</v>
      </c>
      <c r="DQ26" s="22" t="s">
        <v>1</v>
      </c>
      <c r="DR26" s="22" t="s">
        <v>1</v>
      </c>
      <c r="DS26" s="6" t="s">
        <v>1</v>
      </c>
      <c r="DT26" s="6" t="s">
        <v>1</v>
      </c>
      <c r="DU26" s="6" t="s">
        <v>1</v>
      </c>
      <c r="DV26" s="6" t="s">
        <v>1</v>
      </c>
      <c r="DW26" s="6" t="s">
        <v>1</v>
      </c>
      <c r="DX26" s="6" t="s">
        <v>1</v>
      </c>
      <c r="DY26" s="6" t="s">
        <v>1</v>
      </c>
      <c r="DZ26" s="6" t="s">
        <v>1</v>
      </c>
      <c r="EA26" s="6" t="s">
        <v>1</v>
      </c>
      <c r="EB26" s="6" t="s">
        <v>1</v>
      </c>
      <c r="EC26" s="6" t="s">
        <v>1</v>
      </c>
      <c r="ED26" s="6" t="s">
        <v>1</v>
      </c>
      <c r="EE26" s="6" t="s">
        <v>1</v>
      </c>
      <c r="EF26" s="6" t="s">
        <v>1</v>
      </c>
      <c r="EG26" s="6" t="s">
        <v>1</v>
      </c>
      <c r="EH26" s="6" t="s">
        <v>1</v>
      </c>
      <c r="EI26" s="6" t="s">
        <v>1</v>
      </c>
      <c r="EJ26" s="6" t="s">
        <v>1</v>
      </c>
      <c r="EK26" s="6" t="s">
        <v>1</v>
      </c>
      <c r="EL26" s="6" t="s">
        <v>1</v>
      </c>
      <c r="EM26" s="6" t="s">
        <v>1</v>
      </c>
      <c r="EN26" s="6" t="s">
        <v>1</v>
      </c>
      <c r="EO26" s="6" t="s">
        <v>1</v>
      </c>
      <c r="EP26" s="6" t="s">
        <v>1</v>
      </c>
      <c r="EQ26" s="6" t="s">
        <v>1</v>
      </c>
    </row>
    <row r="27" spans="1:147" ht="12">
      <c r="A27" s="1" t="s">
        <v>36</v>
      </c>
      <c r="B27" s="24">
        <v>11</v>
      </c>
      <c r="C27" s="8">
        <v>44</v>
      </c>
      <c r="D27" s="23">
        <v>-6</v>
      </c>
      <c r="E27" s="8">
        <v>49</v>
      </c>
      <c r="F27" s="23">
        <v>13</v>
      </c>
      <c r="G27" s="8">
        <v>48</v>
      </c>
      <c r="H27" s="23">
        <v>57</v>
      </c>
      <c r="I27" s="8">
        <v>29</v>
      </c>
      <c r="J27" s="23">
        <v>-2</v>
      </c>
      <c r="K27" s="8">
        <v>37</v>
      </c>
      <c r="L27" s="20">
        <v>-0.9</v>
      </c>
      <c r="M27" s="23">
        <v>-9</v>
      </c>
      <c r="N27" s="8">
        <v>42</v>
      </c>
      <c r="O27" s="20">
        <v>-1.8</v>
      </c>
      <c r="P27" s="23">
        <v>7</v>
      </c>
      <c r="Q27" s="8">
        <v>44</v>
      </c>
      <c r="R27" s="20">
        <v>0</v>
      </c>
      <c r="S27" s="23">
        <v>16</v>
      </c>
      <c r="T27" s="8">
        <v>18</v>
      </c>
      <c r="U27" s="20">
        <v>1.5</v>
      </c>
      <c r="V27" s="23">
        <v>15</v>
      </c>
      <c r="W27" s="10">
        <v>78</v>
      </c>
      <c r="X27" s="23">
        <v>19</v>
      </c>
      <c r="Y27" s="10">
        <v>73</v>
      </c>
      <c r="Z27" s="23">
        <v>15</v>
      </c>
      <c r="AA27" s="10">
        <v>81</v>
      </c>
      <c r="AB27" s="23">
        <v>5</v>
      </c>
      <c r="AC27" s="10">
        <v>91</v>
      </c>
      <c r="AD27" s="23">
        <v>14</v>
      </c>
      <c r="AE27" s="10">
        <v>41</v>
      </c>
      <c r="AF27" s="23">
        <v>1</v>
      </c>
      <c r="AG27" s="10">
        <v>42</v>
      </c>
      <c r="AH27" s="23">
        <v>5</v>
      </c>
      <c r="AI27" s="10">
        <v>54</v>
      </c>
      <c r="AJ27" s="23">
        <v>59</v>
      </c>
      <c r="AK27" s="10">
        <v>31</v>
      </c>
      <c r="AL27" s="23">
        <v>5</v>
      </c>
      <c r="AM27" s="10">
        <v>45</v>
      </c>
      <c r="AN27" s="23">
        <v>-11</v>
      </c>
      <c r="AO27" s="10">
        <v>47</v>
      </c>
      <c r="AP27" s="23">
        <v>-1</v>
      </c>
      <c r="AQ27" s="10">
        <v>59</v>
      </c>
      <c r="AR27" s="23">
        <v>56</v>
      </c>
      <c r="AS27" s="10">
        <v>34</v>
      </c>
      <c r="AT27" s="6" t="s">
        <v>1</v>
      </c>
      <c r="AU27" s="6" t="s">
        <v>1</v>
      </c>
      <c r="AV27" s="6" t="s">
        <v>1</v>
      </c>
      <c r="AW27" s="6" t="s">
        <v>1</v>
      </c>
      <c r="AX27" s="6" t="s">
        <v>1</v>
      </c>
      <c r="AY27" s="6" t="s">
        <v>1</v>
      </c>
      <c r="AZ27" s="6" t="s">
        <v>1</v>
      </c>
      <c r="BA27" s="6" t="s">
        <v>1</v>
      </c>
      <c r="BB27" s="6" t="s">
        <v>1</v>
      </c>
      <c r="BC27" s="6" t="s">
        <v>1</v>
      </c>
      <c r="BD27" s="6" t="s">
        <v>1</v>
      </c>
      <c r="BE27" s="6" t="s">
        <v>1</v>
      </c>
      <c r="BF27" s="6" t="s">
        <v>1</v>
      </c>
      <c r="BG27" s="6" t="s">
        <v>1</v>
      </c>
      <c r="BH27" s="6" t="s">
        <v>1</v>
      </c>
      <c r="BI27" s="6" t="s">
        <v>1</v>
      </c>
      <c r="BJ27" s="6" t="s">
        <v>1</v>
      </c>
      <c r="BK27" s="6" t="s">
        <v>1</v>
      </c>
      <c r="BL27" s="6" t="s">
        <v>1</v>
      </c>
      <c r="BM27" s="6" t="s">
        <v>1</v>
      </c>
      <c r="BN27" s="6"/>
      <c r="BO27" s="6"/>
      <c r="BP27" s="24">
        <v>11</v>
      </c>
      <c r="BQ27" s="8">
        <v>44</v>
      </c>
      <c r="BR27" s="24">
        <v>-4</v>
      </c>
      <c r="BS27" s="8">
        <v>51</v>
      </c>
      <c r="BT27" s="24">
        <v>4</v>
      </c>
      <c r="BU27" s="8">
        <v>49</v>
      </c>
      <c r="BV27" s="24">
        <v>58</v>
      </c>
      <c r="BW27" s="8">
        <v>21</v>
      </c>
      <c r="BX27" s="22" t="s">
        <v>1</v>
      </c>
      <c r="BY27" s="22" t="s">
        <v>1</v>
      </c>
      <c r="BZ27" s="24">
        <v>1</v>
      </c>
      <c r="CA27" s="8">
        <v>39</v>
      </c>
      <c r="CB27" s="20">
        <v>-1.1</v>
      </c>
      <c r="CC27" s="24">
        <v>-14</v>
      </c>
      <c r="CD27" s="8">
        <v>46</v>
      </c>
      <c r="CE27" s="20">
        <v>-2</v>
      </c>
      <c r="CF27" s="24">
        <v>-4</v>
      </c>
      <c r="CG27" s="8">
        <v>42</v>
      </c>
      <c r="CH27" s="20">
        <v>-1.2</v>
      </c>
      <c r="CI27" s="24">
        <v>45</v>
      </c>
      <c r="CJ27" s="8">
        <v>19</v>
      </c>
      <c r="CK27" s="20">
        <v>1.5</v>
      </c>
      <c r="CL27" s="22" t="s">
        <v>1</v>
      </c>
      <c r="CM27" s="22" t="s">
        <v>1</v>
      </c>
      <c r="CN27" s="22" t="s">
        <v>1</v>
      </c>
      <c r="CO27" s="24">
        <v>10</v>
      </c>
      <c r="CP27" s="10">
        <v>80</v>
      </c>
      <c r="CQ27" s="24">
        <v>12</v>
      </c>
      <c r="CR27" s="10">
        <v>77</v>
      </c>
      <c r="CS27" s="24">
        <v>12</v>
      </c>
      <c r="CT27" s="10">
        <v>78</v>
      </c>
      <c r="CU27" s="24">
        <v>3</v>
      </c>
      <c r="CV27" s="10">
        <v>92</v>
      </c>
      <c r="CW27" s="22" t="s">
        <v>1</v>
      </c>
      <c r="CX27" s="22" t="s">
        <v>1</v>
      </c>
      <c r="CY27" s="24">
        <v>22</v>
      </c>
      <c r="CZ27" s="10">
        <v>38</v>
      </c>
      <c r="DA27" s="24">
        <v>9</v>
      </c>
      <c r="DB27" s="10">
        <v>42</v>
      </c>
      <c r="DC27" s="24">
        <v>8</v>
      </c>
      <c r="DD27" s="12">
        <v>44</v>
      </c>
      <c r="DE27" s="24">
        <v>64</v>
      </c>
      <c r="DF27" s="12">
        <v>22</v>
      </c>
      <c r="DG27" s="22" t="s">
        <v>1</v>
      </c>
      <c r="DH27" s="22" t="s">
        <v>1</v>
      </c>
      <c r="DI27" s="24">
        <v>11</v>
      </c>
      <c r="DJ27" s="12">
        <v>44</v>
      </c>
      <c r="DK27" s="24">
        <v>-3</v>
      </c>
      <c r="DL27" s="12">
        <v>49</v>
      </c>
      <c r="DM27" s="24">
        <v>0</v>
      </c>
      <c r="DN27" s="12">
        <v>48</v>
      </c>
      <c r="DO27" s="24">
        <v>59</v>
      </c>
      <c r="DP27" s="12">
        <v>27</v>
      </c>
      <c r="DQ27" s="22" t="s">
        <v>1</v>
      </c>
      <c r="DR27" s="22" t="s">
        <v>1</v>
      </c>
      <c r="DS27" s="6" t="s">
        <v>1</v>
      </c>
      <c r="DT27" s="6" t="s">
        <v>1</v>
      </c>
      <c r="DU27" s="6" t="s">
        <v>1</v>
      </c>
      <c r="DV27" s="6" t="s">
        <v>1</v>
      </c>
      <c r="DW27" s="6" t="s">
        <v>1</v>
      </c>
      <c r="DX27" s="6" t="s">
        <v>1</v>
      </c>
      <c r="DY27" s="6" t="s">
        <v>1</v>
      </c>
      <c r="DZ27" s="6" t="s">
        <v>1</v>
      </c>
      <c r="EA27" s="6" t="s">
        <v>1</v>
      </c>
      <c r="EB27" s="6" t="s">
        <v>1</v>
      </c>
      <c r="EC27" s="6" t="s">
        <v>1</v>
      </c>
      <c r="ED27" s="6" t="s">
        <v>1</v>
      </c>
      <c r="EE27" s="6" t="s">
        <v>1</v>
      </c>
      <c r="EF27" s="6" t="s">
        <v>1</v>
      </c>
      <c r="EG27" s="6" t="s">
        <v>1</v>
      </c>
      <c r="EH27" s="6" t="s">
        <v>1</v>
      </c>
      <c r="EI27" s="6" t="s">
        <v>1</v>
      </c>
      <c r="EJ27" s="6" t="s">
        <v>1</v>
      </c>
      <c r="EK27" s="6" t="s">
        <v>1</v>
      </c>
      <c r="EL27" s="6" t="s">
        <v>1</v>
      </c>
      <c r="EM27" s="6" t="s">
        <v>1</v>
      </c>
      <c r="EN27" s="6" t="s">
        <v>1</v>
      </c>
      <c r="EO27" s="6" t="s">
        <v>1</v>
      </c>
      <c r="EP27" s="6" t="s">
        <v>1</v>
      </c>
      <c r="EQ27" s="6" t="s">
        <v>1</v>
      </c>
    </row>
    <row r="28" spans="1:147" ht="12">
      <c r="A28" s="1" t="s">
        <v>32</v>
      </c>
      <c r="B28" s="24">
        <v>7</v>
      </c>
      <c r="C28" s="8">
        <v>33</v>
      </c>
      <c r="D28" s="23">
        <v>-19</v>
      </c>
      <c r="E28" s="8">
        <v>40</v>
      </c>
      <c r="F28" s="23">
        <v>-12</v>
      </c>
      <c r="G28" s="8">
        <v>42</v>
      </c>
      <c r="H28" s="23">
        <v>60</v>
      </c>
      <c r="I28" s="8">
        <v>17</v>
      </c>
      <c r="J28" s="23">
        <v>9</v>
      </c>
      <c r="K28" s="8">
        <v>38</v>
      </c>
      <c r="L28" s="20">
        <v>-0.1</v>
      </c>
      <c r="M28" s="23">
        <v>-16</v>
      </c>
      <c r="N28" s="8">
        <v>47</v>
      </c>
      <c r="O28" s="20">
        <v>-2.4</v>
      </c>
      <c r="P28" s="23">
        <v>-8</v>
      </c>
      <c r="Q28" s="8">
        <v>48</v>
      </c>
      <c r="R28" s="20">
        <v>-1.5</v>
      </c>
      <c r="S28" s="23">
        <v>61</v>
      </c>
      <c r="T28" s="8">
        <v>17</v>
      </c>
      <c r="U28" s="20">
        <v>4.6</v>
      </c>
      <c r="V28" s="23">
        <v>7</v>
      </c>
      <c r="W28" s="10">
        <v>82</v>
      </c>
      <c r="X28" s="23">
        <v>11</v>
      </c>
      <c r="Y28" s="10">
        <v>78</v>
      </c>
      <c r="Z28" s="23">
        <v>10</v>
      </c>
      <c r="AA28" s="10">
        <v>83</v>
      </c>
      <c r="AB28" s="23">
        <v>0</v>
      </c>
      <c r="AC28" s="10">
        <v>90</v>
      </c>
      <c r="AD28" s="23">
        <v>39</v>
      </c>
      <c r="AE28" s="10">
        <v>36</v>
      </c>
      <c r="AF28" s="23">
        <v>38</v>
      </c>
      <c r="AG28" s="10">
        <v>31</v>
      </c>
      <c r="AH28" s="23">
        <v>41</v>
      </c>
      <c r="AI28" s="10">
        <v>31</v>
      </c>
      <c r="AJ28" s="23">
        <v>39</v>
      </c>
      <c r="AK28" s="10">
        <v>48</v>
      </c>
      <c r="AL28" s="23">
        <v>26</v>
      </c>
      <c r="AM28" s="10">
        <v>35</v>
      </c>
      <c r="AN28" s="23">
        <v>27</v>
      </c>
      <c r="AO28" s="10">
        <v>37</v>
      </c>
      <c r="AP28" s="23">
        <v>40</v>
      </c>
      <c r="AQ28" s="10">
        <v>35</v>
      </c>
      <c r="AR28" s="23">
        <v>20</v>
      </c>
      <c r="AS28" s="10">
        <v>33</v>
      </c>
      <c r="AT28" s="6" t="s">
        <v>1</v>
      </c>
      <c r="AU28" s="6" t="s">
        <v>1</v>
      </c>
      <c r="AV28" s="6" t="s">
        <v>1</v>
      </c>
      <c r="AW28" s="6" t="s">
        <v>1</v>
      </c>
      <c r="AX28" s="6" t="s">
        <v>1</v>
      </c>
      <c r="AY28" s="6" t="s">
        <v>1</v>
      </c>
      <c r="AZ28" s="6" t="s">
        <v>1</v>
      </c>
      <c r="BA28" s="6" t="s">
        <v>1</v>
      </c>
      <c r="BB28" s="6" t="s">
        <v>1</v>
      </c>
      <c r="BC28" s="6" t="s">
        <v>1</v>
      </c>
      <c r="BD28" s="6" t="s">
        <v>1</v>
      </c>
      <c r="BE28" s="6" t="s">
        <v>1</v>
      </c>
      <c r="BF28" s="6" t="s">
        <v>1</v>
      </c>
      <c r="BG28" s="6" t="s">
        <v>1</v>
      </c>
      <c r="BH28" s="6" t="s">
        <v>1</v>
      </c>
      <c r="BI28" s="6" t="s">
        <v>1</v>
      </c>
      <c r="BJ28" s="6" t="s">
        <v>1</v>
      </c>
      <c r="BK28" s="6" t="s">
        <v>1</v>
      </c>
      <c r="BL28" s="6" t="s">
        <v>1</v>
      </c>
      <c r="BM28" s="6" t="s">
        <v>1</v>
      </c>
      <c r="BN28" s="6"/>
      <c r="BO28" s="6"/>
      <c r="BP28" s="24">
        <v>5</v>
      </c>
      <c r="BQ28" s="8">
        <v>37</v>
      </c>
      <c r="BR28" s="24">
        <v>-14</v>
      </c>
      <c r="BS28" s="8">
        <v>43</v>
      </c>
      <c r="BT28" s="24">
        <v>-10</v>
      </c>
      <c r="BU28" s="8">
        <v>42</v>
      </c>
      <c r="BV28" s="24">
        <v>51</v>
      </c>
      <c r="BW28" s="8">
        <v>20</v>
      </c>
      <c r="BX28" s="22" t="s">
        <v>1</v>
      </c>
      <c r="BY28" s="22" t="s">
        <v>1</v>
      </c>
      <c r="BZ28" s="24">
        <v>6</v>
      </c>
      <c r="CA28" s="8">
        <v>39</v>
      </c>
      <c r="CB28" s="20">
        <v>-0.5</v>
      </c>
      <c r="CC28" s="24">
        <v>-12</v>
      </c>
      <c r="CD28" s="8">
        <v>47</v>
      </c>
      <c r="CE28" s="20">
        <v>-1.9</v>
      </c>
      <c r="CF28" s="24">
        <v>-8</v>
      </c>
      <c r="CG28" s="8">
        <v>46</v>
      </c>
      <c r="CH28" s="20">
        <v>-1.5</v>
      </c>
      <c r="CI28" s="24">
        <v>52</v>
      </c>
      <c r="CJ28" s="8">
        <v>19</v>
      </c>
      <c r="CK28" s="20">
        <v>3</v>
      </c>
      <c r="CL28" s="22" t="s">
        <v>1</v>
      </c>
      <c r="CM28" s="22" t="s">
        <v>1</v>
      </c>
      <c r="CN28" s="22" t="s">
        <v>1</v>
      </c>
      <c r="CO28" s="24">
        <v>8</v>
      </c>
      <c r="CP28" s="10">
        <v>83</v>
      </c>
      <c r="CQ28" s="24">
        <v>9</v>
      </c>
      <c r="CR28" s="10">
        <v>80</v>
      </c>
      <c r="CS28" s="24">
        <v>11</v>
      </c>
      <c r="CT28" s="10">
        <v>81</v>
      </c>
      <c r="CU28" s="24">
        <v>2</v>
      </c>
      <c r="CV28" s="10">
        <v>92</v>
      </c>
      <c r="CW28" s="22" t="s">
        <v>1</v>
      </c>
      <c r="CX28" s="22" t="s">
        <v>1</v>
      </c>
      <c r="CY28" s="24">
        <v>42</v>
      </c>
      <c r="CZ28" s="10">
        <v>36</v>
      </c>
      <c r="DA28" s="24">
        <v>38</v>
      </c>
      <c r="DB28" s="10">
        <v>34</v>
      </c>
      <c r="DC28" s="24">
        <v>42</v>
      </c>
      <c r="DD28" s="12">
        <v>33</v>
      </c>
      <c r="DE28" s="24">
        <v>49</v>
      </c>
      <c r="DF28" s="12">
        <v>42</v>
      </c>
      <c r="DG28" s="22" t="s">
        <v>1</v>
      </c>
      <c r="DH28" s="22" t="s">
        <v>1</v>
      </c>
      <c r="DI28" s="24">
        <v>31</v>
      </c>
      <c r="DJ28" s="12">
        <v>39</v>
      </c>
      <c r="DK28" s="24">
        <v>29</v>
      </c>
      <c r="DL28" s="12">
        <v>41</v>
      </c>
      <c r="DM28" s="24">
        <v>33</v>
      </c>
      <c r="DN28" s="12">
        <v>40</v>
      </c>
      <c r="DO28" s="24">
        <v>33</v>
      </c>
      <c r="DP28" s="12">
        <v>36</v>
      </c>
      <c r="DQ28" s="22" t="s">
        <v>1</v>
      </c>
      <c r="DR28" s="22" t="s">
        <v>1</v>
      </c>
      <c r="DS28" s="6" t="s">
        <v>1</v>
      </c>
      <c r="DT28" s="6" t="s">
        <v>1</v>
      </c>
      <c r="DU28" s="6" t="s">
        <v>1</v>
      </c>
      <c r="DV28" s="6" t="s">
        <v>1</v>
      </c>
      <c r="DW28" s="6" t="s">
        <v>1</v>
      </c>
      <c r="DX28" s="6" t="s">
        <v>1</v>
      </c>
      <c r="DY28" s="6" t="s">
        <v>1</v>
      </c>
      <c r="DZ28" s="6" t="s">
        <v>1</v>
      </c>
      <c r="EA28" s="6" t="s">
        <v>1</v>
      </c>
      <c r="EB28" s="6" t="s">
        <v>1</v>
      </c>
      <c r="EC28" s="6" t="s">
        <v>1</v>
      </c>
      <c r="ED28" s="6" t="s">
        <v>1</v>
      </c>
      <c r="EE28" s="6" t="s">
        <v>1</v>
      </c>
      <c r="EF28" s="6" t="s">
        <v>1</v>
      </c>
      <c r="EG28" s="6" t="s">
        <v>1</v>
      </c>
      <c r="EH28" s="6" t="s">
        <v>1</v>
      </c>
      <c r="EI28" s="6" t="s">
        <v>1</v>
      </c>
      <c r="EJ28" s="6" t="s">
        <v>1</v>
      </c>
      <c r="EK28" s="6" t="s">
        <v>1</v>
      </c>
      <c r="EL28" s="6" t="s">
        <v>1</v>
      </c>
      <c r="EM28" s="6" t="s">
        <v>1</v>
      </c>
      <c r="EN28" s="6" t="s">
        <v>1</v>
      </c>
      <c r="EO28" s="6" t="s">
        <v>1</v>
      </c>
      <c r="EP28" s="6" t="s">
        <v>1</v>
      </c>
      <c r="EQ28" s="6" t="s">
        <v>1</v>
      </c>
    </row>
    <row r="29" spans="1:147" ht="12">
      <c r="A29" s="1" t="s">
        <v>33</v>
      </c>
      <c r="B29" s="24">
        <f>43-21</f>
        <v>22</v>
      </c>
      <c r="C29" s="8">
        <v>36</v>
      </c>
      <c r="D29" s="23">
        <f>34-26</f>
        <v>8</v>
      </c>
      <c r="E29" s="8">
        <v>40</v>
      </c>
      <c r="F29" s="23">
        <f>40-16</f>
        <v>24</v>
      </c>
      <c r="G29" s="8">
        <v>44</v>
      </c>
      <c r="H29" s="23">
        <f>62-15</f>
        <v>47</v>
      </c>
      <c r="I29" s="8">
        <v>23</v>
      </c>
      <c r="J29" s="23">
        <f>36-25</f>
        <v>11</v>
      </c>
      <c r="K29" s="8">
        <v>39</v>
      </c>
      <c r="L29" s="20">
        <v>0.8</v>
      </c>
      <c r="M29" s="23">
        <f>24-26</f>
        <v>-2</v>
      </c>
      <c r="N29" s="8">
        <v>50</v>
      </c>
      <c r="O29" s="20">
        <v>-0.8</v>
      </c>
      <c r="P29" s="23">
        <f>30-21</f>
        <v>9</v>
      </c>
      <c r="Q29" s="8">
        <v>49</v>
      </c>
      <c r="R29" s="20">
        <v>0.2</v>
      </c>
      <c r="S29" s="23">
        <f>59-24</f>
        <v>35</v>
      </c>
      <c r="T29" s="8">
        <v>17</v>
      </c>
      <c r="U29" s="20">
        <v>3.8</v>
      </c>
      <c r="V29" s="23">
        <f>13-11</f>
        <v>2</v>
      </c>
      <c r="W29" s="10">
        <v>76</v>
      </c>
      <c r="X29" s="23">
        <f>16-17</f>
        <v>-1</v>
      </c>
      <c r="Y29" s="10">
        <v>68</v>
      </c>
      <c r="Z29" s="23">
        <f>12-3</f>
        <v>9</v>
      </c>
      <c r="AA29" s="10">
        <v>85</v>
      </c>
      <c r="AB29" s="23">
        <f>10-3</f>
        <v>7</v>
      </c>
      <c r="AC29" s="10">
        <v>87</v>
      </c>
      <c r="AD29" s="23">
        <f>24-27</f>
        <v>-3</v>
      </c>
      <c r="AE29" s="10">
        <v>49</v>
      </c>
      <c r="AF29" s="23">
        <f>15-32</f>
        <v>-17</v>
      </c>
      <c r="AG29" s="10">
        <v>53</v>
      </c>
      <c r="AH29" s="23">
        <f>22-38</f>
        <v>-16</v>
      </c>
      <c r="AI29" s="10">
        <v>40</v>
      </c>
      <c r="AJ29" s="23">
        <f>39-14</f>
        <v>25</v>
      </c>
      <c r="AK29" s="10">
        <v>48</v>
      </c>
      <c r="AL29" s="23">
        <f>18-29</f>
        <v>-11</v>
      </c>
      <c r="AM29" s="10">
        <v>53</v>
      </c>
      <c r="AN29" s="23">
        <f>13-30</f>
        <v>-17</v>
      </c>
      <c r="AO29" s="10">
        <v>57</v>
      </c>
      <c r="AP29" s="23">
        <f>15-35</f>
        <v>-20</v>
      </c>
      <c r="AQ29" s="10">
        <v>50</v>
      </c>
      <c r="AR29" s="23">
        <f>29-24</f>
        <v>5</v>
      </c>
      <c r="AS29" s="10">
        <v>47</v>
      </c>
      <c r="AT29" s="6" t="s">
        <v>1</v>
      </c>
      <c r="AU29" s="6" t="s">
        <v>1</v>
      </c>
      <c r="AV29" s="6" t="s">
        <v>1</v>
      </c>
      <c r="AW29" s="6" t="s">
        <v>1</v>
      </c>
      <c r="AX29" s="6" t="s">
        <v>1</v>
      </c>
      <c r="AY29" s="6" t="s">
        <v>1</v>
      </c>
      <c r="AZ29" s="6" t="s">
        <v>1</v>
      </c>
      <c r="BA29" s="6" t="s">
        <v>1</v>
      </c>
      <c r="BB29" s="6" t="s">
        <v>1</v>
      </c>
      <c r="BC29" s="6" t="s">
        <v>1</v>
      </c>
      <c r="BD29" s="6" t="s">
        <v>1</v>
      </c>
      <c r="BE29" s="6" t="s">
        <v>1</v>
      </c>
      <c r="BF29" s="6" t="s">
        <v>1</v>
      </c>
      <c r="BG29" s="6" t="s">
        <v>1</v>
      </c>
      <c r="BH29" s="6" t="s">
        <v>1</v>
      </c>
      <c r="BI29" s="6" t="s">
        <v>1</v>
      </c>
      <c r="BJ29" s="6" t="s">
        <v>1</v>
      </c>
      <c r="BK29" s="6" t="s">
        <v>1</v>
      </c>
      <c r="BL29" s="6" t="s">
        <v>1</v>
      </c>
      <c r="BM29" s="6" t="s">
        <v>1</v>
      </c>
      <c r="BN29" s="6"/>
      <c r="BO29" s="6"/>
      <c r="BP29" s="24">
        <f>42-22</f>
        <v>20</v>
      </c>
      <c r="BQ29" s="8">
        <v>36</v>
      </c>
      <c r="BR29" s="24">
        <f>33-25</f>
        <v>8</v>
      </c>
      <c r="BS29" s="8">
        <v>42</v>
      </c>
      <c r="BT29" s="24">
        <f>36-23</f>
        <v>13</v>
      </c>
      <c r="BU29" s="8">
        <v>41</v>
      </c>
      <c r="BV29" s="24">
        <f>62-15</f>
        <v>47</v>
      </c>
      <c r="BW29" s="8">
        <v>22</v>
      </c>
      <c r="BX29" s="22" t="s">
        <v>1</v>
      </c>
      <c r="BY29" s="22" t="s">
        <v>1</v>
      </c>
      <c r="BZ29" s="24">
        <f>34-27</f>
        <v>7</v>
      </c>
      <c r="CA29" s="8">
        <v>39</v>
      </c>
      <c r="CB29" s="20">
        <v>-0.2</v>
      </c>
      <c r="CC29" s="24">
        <f>21-31</f>
        <v>-10</v>
      </c>
      <c r="CD29" s="8">
        <v>48</v>
      </c>
      <c r="CE29" s="20">
        <v>-1.7</v>
      </c>
      <c r="CF29" s="24">
        <f>29-30</f>
        <v>-1</v>
      </c>
      <c r="CG29" s="8">
        <v>40</v>
      </c>
      <c r="CH29" s="20">
        <v>-0.7</v>
      </c>
      <c r="CI29" s="24">
        <f>65-16</f>
        <v>49</v>
      </c>
      <c r="CJ29" s="8">
        <v>19</v>
      </c>
      <c r="CK29" s="20">
        <v>3</v>
      </c>
      <c r="CL29" s="22" t="s">
        <v>1</v>
      </c>
      <c r="CM29" s="22" t="s">
        <v>1</v>
      </c>
      <c r="CN29" s="22" t="s">
        <v>1</v>
      </c>
      <c r="CO29" s="24">
        <f>15-6</f>
        <v>9</v>
      </c>
      <c r="CP29" s="10">
        <v>79</v>
      </c>
      <c r="CQ29" s="24">
        <f>16-8</f>
        <v>8</v>
      </c>
      <c r="CR29" s="10">
        <v>77</v>
      </c>
      <c r="CS29" s="24">
        <f>16-6</f>
        <v>10</v>
      </c>
      <c r="CT29" s="10">
        <v>78</v>
      </c>
      <c r="CU29" s="24">
        <f>14-2</f>
        <v>12</v>
      </c>
      <c r="CV29" s="10">
        <v>84</v>
      </c>
      <c r="CW29" s="22" t="s">
        <v>1</v>
      </c>
      <c r="CX29" s="22" t="s">
        <v>1</v>
      </c>
      <c r="CY29" s="24">
        <f>22-29</f>
        <v>-7</v>
      </c>
      <c r="CZ29" s="10">
        <v>49</v>
      </c>
      <c r="DA29" s="24">
        <f>15-32</f>
        <v>-17</v>
      </c>
      <c r="DB29" s="10">
        <v>52</v>
      </c>
      <c r="DC29" s="24">
        <f>19-32</f>
        <v>-13</v>
      </c>
      <c r="DD29" s="12">
        <v>49</v>
      </c>
      <c r="DE29" s="24">
        <f>37-21</f>
        <v>16</v>
      </c>
      <c r="DF29" s="12">
        <v>43</v>
      </c>
      <c r="DG29" s="22" t="s">
        <v>1</v>
      </c>
      <c r="DH29" s="22" t="s">
        <v>1</v>
      </c>
      <c r="DI29" s="24">
        <f>18-29</f>
        <v>-11</v>
      </c>
      <c r="DJ29" s="12">
        <v>53</v>
      </c>
      <c r="DK29" s="24">
        <f>12-31</f>
        <v>-19</v>
      </c>
      <c r="DL29" s="12">
        <v>57</v>
      </c>
      <c r="DM29" s="24">
        <f>15-32</f>
        <v>-17</v>
      </c>
      <c r="DN29" s="12">
        <v>53</v>
      </c>
      <c r="DO29" s="24">
        <f>33-24</f>
        <v>9</v>
      </c>
      <c r="DP29" s="12">
        <v>43</v>
      </c>
      <c r="DQ29" s="22" t="s">
        <v>1</v>
      </c>
      <c r="DR29" s="22" t="s">
        <v>1</v>
      </c>
      <c r="DS29" s="6" t="s">
        <v>1</v>
      </c>
      <c r="DT29" s="6" t="s">
        <v>1</v>
      </c>
      <c r="DU29" s="6" t="s">
        <v>1</v>
      </c>
      <c r="DV29" s="6" t="s">
        <v>1</v>
      </c>
      <c r="DW29" s="6" t="s">
        <v>1</v>
      </c>
      <c r="DX29" s="6" t="s">
        <v>1</v>
      </c>
      <c r="DY29" s="6" t="s">
        <v>1</v>
      </c>
      <c r="DZ29" s="6" t="s">
        <v>1</v>
      </c>
      <c r="EA29" s="6" t="s">
        <v>1</v>
      </c>
      <c r="EB29" s="6" t="s">
        <v>1</v>
      </c>
      <c r="EC29" s="6" t="s">
        <v>1</v>
      </c>
      <c r="ED29" s="6" t="s">
        <v>1</v>
      </c>
      <c r="EE29" s="6" t="s">
        <v>1</v>
      </c>
      <c r="EF29" s="6" t="s">
        <v>1</v>
      </c>
      <c r="EG29" s="6" t="s">
        <v>1</v>
      </c>
      <c r="EH29" s="6" t="s">
        <v>1</v>
      </c>
      <c r="EI29" s="6" t="s">
        <v>1</v>
      </c>
      <c r="EJ29" s="6" t="s">
        <v>1</v>
      </c>
      <c r="EK29" s="6" t="s">
        <v>1</v>
      </c>
      <c r="EL29" s="6" t="s">
        <v>1</v>
      </c>
      <c r="EM29" s="6" t="s">
        <v>1</v>
      </c>
      <c r="EN29" s="6" t="s">
        <v>1</v>
      </c>
      <c r="EO29" s="6" t="s">
        <v>1</v>
      </c>
      <c r="EP29" s="6" t="s">
        <v>1</v>
      </c>
      <c r="EQ29" s="6" t="s">
        <v>1</v>
      </c>
    </row>
    <row r="30" spans="1:147" ht="12">
      <c r="A30" s="1" t="s">
        <v>39</v>
      </c>
      <c r="B30" s="24">
        <f aca="true" t="shared" si="4" ref="B30:AS30">AVERAGE(B26:B29)</f>
        <v>4.5</v>
      </c>
      <c r="C30" s="13">
        <f t="shared" si="4"/>
        <v>37.25</v>
      </c>
      <c r="D30" s="24">
        <f t="shared" si="4"/>
        <v>-9.25</v>
      </c>
      <c r="E30" s="13">
        <f t="shared" si="4"/>
        <v>41.75</v>
      </c>
      <c r="F30" s="24">
        <f t="shared" si="4"/>
        <v>2.75</v>
      </c>
      <c r="G30" s="13">
        <f t="shared" si="4"/>
        <v>45</v>
      </c>
      <c r="H30" s="24">
        <f t="shared" si="4"/>
        <v>33.25</v>
      </c>
      <c r="I30" s="13">
        <f t="shared" si="4"/>
        <v>23.25</v>
      </c>
      <c r="J30" s="24">
        <f t="shared" si="4"/>
        <v>6.75</v>
      </c>
      <c r="K30" s="13">
        <f t="shared" si="4"/>
        <v>37.75</v>
      </c>
      <c r="L30" s="21">
        <f t="shared" si="4"/>
        <v>-0.07500000000000001</v>
      </c>
      <c r="M30" s="24">
        <f t="shared" si="4"/>
        <v>-7.25</v>
      </c>
      <c r="N30" s="13">
        <f t="shared" si="4"/>
        <v>43.5</v>
      </c>
      <c r="O30" s="21">
        <f t="shared" si="4"/>
        <v>-1.5250000000000001</v>
      </c>
      <c r="P30" s="24">
        <f t="shared" si="4"/>
        <v>2.5</v>
      </c>
      <c r="Q30" s="13">
        <f t="shared" si="4"/>
        <v>47</v>
      </c>
      <c r="R30" s="21">
        <f t="shared" si="4"/>
        <v>-0.425</v>
      </c>
      <c r="S30" s="24">
        <f t="shared" si="4"/>
        <v>38</v>
      </c>
      <c r="T30" s="13">
        <f t="shared" si="4"/>
        <v>22.25</v>
      </c>
      <c r="U30" s="21">
        <f t="shared" si="4"/>
        <v>3.125</v>
      </c>
      <c r="V30" s="24">
        <f t="shared" si="4"/>
        <v>9</v>
      </c>
      <c r="W30" s="13">
        <f t="shared" si="4"/>
        <v>79.25</v>
      </c>
      <c r="X30" s="24">
        <f t="shared" si="4"/>
        <v>10.25</v>
      </c>
      <c r="Y30" s="13">
        <f t="shared" si="4"/>
        <v>74</v>
      </c>
      <c r="Z30" s="24">
        <f t="shared" si="4"/>
        <v>13</v>
      </c>
      <c r="AA30" s="13">
        <f t="shared" si="4"/>
        <v>82.25</v>
      </c>
      <c r="AB30" s="24">
        <f t="shared" si="4"/>
        <v>5</v>
      </c>
      <c r="AC30" s="13">
        <f t="shared" si="4"/>
        <v>90</v>
      </c>
      <c r="AD30" s="24">
        <f t="shared" si="4"/>
        <v>19.5</v>
      </c>
      <c r="AE30" s="13">
        <f t="shared" si="4"/>
        <v>43.5</v>
      </c>
      <c r="AF30" s="24">
        <f t="shared" si="4"/>
        <v>11.5</v>
      </c>
      <c r="AG30" s="13">
        <f t="shared" si="4"/>
        <v>43</v>
      </c>
      <c r="AH30" s="24">
        <f t="shared" si="4"/>
        <v>14.25</v>
      </c>
      <c r="AI30" s="13">
        <f t="shared" si="4"/>
        <v>44.5</v>
      </c>
      <c r="AJ30" s="24">
        <f t="shared" si="4"/>
        <v>40.5</v>
      </c>
      <c r="AK30" s="13">
        <f t="shared" si="4"/>
        <v>45</v>
      </c>
      <c r="AL30" s="24">
        <f t="shared" si="4"/>
        <v>7.5</v>
      </c>
      <c r="AM30" s="13">
        <f t="shared" si="4"/>
        <v>46.75</v>
      </c>
      <c r="AN30" s="24">
        <f t="shared" si="4"/>
        <v>1</v>
      </c>
      <c r="AO30" s="13">
        <f t="shared" si="4"/>
        <v>48</v>
      </c>
      <c r="AP30" s="24">
        <f t="shared" si="4"/>
        <v>5.75</v>
      </c>
      <c r="AQ30" s="13">
        <f t="shared" si="4"/>
        <v>50.75</v>
      </c>
      <c r="AR30" s="24">
        <f t="shared" si="4"/>
        <v>27.25</v>
      </c>
      <c r="AS30" s="13">
        <f t="shared" si="4"/>
        <v>42.75</v>
      </c>
      <c r="AT30" s="6" t="s">
        <v>1</v>
      </c>
      <c r="AU30" s="6" t="s">
        <v>1</v>
      </c>
      <c r="AV30" s="6" t="s">
        <v>1</v>
      </c>
      <c r="AW30" s="6" t="s">
        <v>1</v>
      </c>
      <c r="AX30" s="6" t="s">
        <v>1</v>
      </c>
      <c r="AY30" s="6" t="s">
        <v>1</v>
      </c>
      <c r="AZ30" s="6" t="s">
        <v>1</v>
      </c>
      <c r="BA30" s="6" t="s">
        <v>1</v>
      </c>
      <c r="BB30" s="6" t="s">
        <v>1</v>
      </c>
      <c r="BC30" s="6" t="s">
        <v>1</v>
      </c>
      <c r="BD30" s="6" t="s">
        <v>1</v>
      </c>
      <c r="BE30" s="6" t="s">
        <v>1</v>
      </c>
      <c r="BF30" s="6" t="s">
        <v>1</v>
      </c>
      <c r="BG30" s="6" t="s">
        <v>1</v>
      </c>
      <c r="BH30" s="6" t="s">
        <v>1</v>
      </c>
      <c r="BI30" s="6" t="s">
        <v>1</v>
      </c>
      <c r="BJ30" s="6" t="s">
        <v>1</v>
      </c>
      <c r="BK30" s="6" t="s">
        <v>1</v>
      </c>
      <c r="BL30" s="6" t="s">
        <v>1</v>
      </c>
      <c r="BM30" s="6" t="s">
        <v>1</v>
      </c>
      <c r="BN30" s="6"/>
      <c r="BO30" s="6"/>
      <c r="BP30" s="24">
        <f aca="true" t="shared" si="5" ref="BP30:DP30">AVERAGE(BP26:BP29)</f>
        <v>3.5</v>
      </c>
      <c r="BQ30" s="13">
        <f t="shared" si="5"/>
        <v>39.5</v>
      </c>
      <c r="BR30" s="24">
        <f t="shared" si="5"/>
        <v>-8.75</v>
      </c>
      <c r="BS30" s="13">
        <f t="shared" si="5"/>
        <v>45.25</v>
      </c>
      <c r="BT30" s="24">
        <f t="shared" si="5"/>
        <v>-3</v>
      </c>
      <c r="BU30" s="13">
        <f t="shared" si="5"/>
        <v>43.25</v>
      </c>
      <c r="BV30" s="24">
        <f t="shared" si="5"/>
        <v>35.25</v>
      </c>
      <c r="BW30" s="13">
        <f t="shared" si="5"/>
        <v>23.25</v>
      </c>
      <c r="BX30" s="22" t="s">
        <v>1</v>
      </c>
      <c r="BY30" s="22" t="s">
        <v>1</v>
      </c>
      <c r="BZ30" s="24">
        <f t="shared" si="5"/>
        <v>4.5</v>
      </c>
      <c r="CA30" s="13">
        <f t="shared" si="5"/>
        <v>38.75</v>
      </c>
      <c r="CB30" s="21">
        <f t="shared" si="5"/>
        <v>-0.6000000000000001</v>
      </c>
      <c r="CC30" s="24">
        <f t="shared" si="5"/>
        <v>-10.75</v>
      </c>
      <c r="CD30" s="13">
        <f t="shared" si="5"/>
        <v>45.75</v>
      </c>
      <c r="CE30" s="21">
        <f t="shared" si="5"/>
        <v>-1.7750000000000001</v>
      </c>
      <c r="CF30" s="24">
        <f t="shared" si="5"/>
        <v>-3.5</v>
      </c>
      <c r="CG30" s="13">
        <f t="shared" si="5"/>
        <v>41.75</v>
      </c>
      <c r="CH30" s="21">
        <f t="shared" si="5"/>
        <v>-1.05</v>
      </c>
      <c r="CI30" s="24">
        <f t="shared" si="5"/>
        <v>46.25</v>
      </c>
      <c r="CJ30" s="13">
        <f t="shared" si="5"/>
        <v>20.75</v>
      </c>
      <c r="CK30" s="21">
        <f t="shared" si="5"/>
        <v>2.45</v>
      </c>
      <c r="CL30" s="22" t="s">
        <v>1</v>
      </c>
      <c r="CM30" s="22" t="s">
        <v>1</v>
      </c>
      <c r="CN30" s="22" t="s">
        <v>1</v>
      </c>
      <c r="CO30" s="24">
        <f t="shared" si="5"/>
        <v>9.25</v>
      </c>
      <c r="CP30" s="13">
        <f t="shared" si="5"/>
        <v>81.25</v>
      </c>
      <c r="CQ30" s="24">
        <f t="shared" si="5"/>
        <v>10</v>
      </c>
      <c r="CR30" s="13">
        <f t="shared" si="5"/>
        <v>78.5</v>
      </c>
      <c r="CS30" s="24">
        <f t="shared" si="5"/>
        <v>11.5</v>
      </c>
      <c r="CT30" s="13">
        <f t="shared" si="5"/>
        <v>79.25</v>
      </c>
      <c r="CU30" s="24">
        <f t="shared" si="5"/>
        <v>5.25</v>
      </c>
      <c r="CV30" s="13">
        <f t="shared" si="5"/>
        <v>90.5</v>
      </c>
      <c r="CW30" s="22" t="s">
        <v>1</v>
      </c>
      <c r="CX30" s="22" t="s">
        <v>1</v>
      </c>
      <c r="CY30" s="24">
        <f t="shared" si="5"/>
        <v>21.25</v>
      </c>
      <c r="CZ30" s="13">
        <f t="shared" si="5"/>
        <v>43</v>
      </c>
      <c r="DA30" s="24">
        <f t="shared" si="5"/>
        <v>13.5</v>
      </c>
      <c r="DB30" s="13">
        <f t="shared" si="5"/>
        <v>44.25</v>
      </c>
      <c r="DC30" s="24">
        <f t="shared" si="5"/>
        <v>16.25</v>
      </c>
      <c r="DD30" s="13">
        <f t="shared" si="5"/>
        <v>43.25</v>
      </c>
      <c r="DE30" s="24">
        <f t="shared" si="5"/>
        <v>42.75</v>
      </c>
      <c r="DF30" s="13">
        <f t="shared" si="5"/>
        <v>39.5</v>
      </c>
      <c r="DG30" s="22" t="s">
        <v>1</v>
      </c>
      <c r="DH30" s="22" t="s">
        <v>1</v>
      </c>
      <c r="DI30" s="24">
        <f t="shared" si="5"/>
        <v>12</v>
      </c>
      <c r="DJ30" s="13">
        <f t="shared" si="5"/>
        <v>47.5</v>
      </c>
      <c r="DK30" s="24">
        <f t="shared" si="5"/>
        <v>4.5</v>
      </c>
      <c r="DL30" s="13">
        <f t="shared" si="5"/>
        <v>50.5</v>
      </c>
      <c r="DM30" s="24">
        <f t="shared" si="5"/>
        <v>8</v>
      </c>
      <c r="DN30" s="13">
        <f t="shared" si="5"/>
        <v>48.5</v>
      </c>
      <c r="DO30" s="24">
        <f t="shared" si="5"/>
        <v>34.25</v>
      </c>
      <c r="DP30" s="13">
        <f t="shared" si="5"/>
        <v>40</v>
      </c>
      <c r="DQ30" s="22" t="s">
        <v>1</v>
      </c>
      <c r="DR30" s="22" t="s">
        <v>1</v>
      </c>
      <c r="DS30" s="6" t="s">
        <v>1</v>
      </c>
      <c r="DT30" s="6" t="s">
        <v>1</v>
      </c>
      <c r="DU30" s="6" t="s">
        <v>1</v>
      </c>
      <c r="DV30" s="6" t="s">
        <v>1</v>
      </c>
      <c r="DW30" s="6" t="s">
        <v>1</v>
      </c>
      <c r="DX30" s="6" t="s">
        <v>1</v>
      </c>
      <c r="DY30" s="6" t="s">
        <v>1</v>
      </c>
      <c r="DZ30" s="6" t="s">
        <v>1</v>
      </c>
      <c r="EA30" s="6" t="s">
        <v>1</v>
      </c>
      <c r="EB30" s="6" t="s">
        <v>1</v>
      </c>
      <c r="EC30" s="6" t="s">
        <v>1</v>
      </c>
      <c r="ED30" s="6" t="s">
        <v>1</v>
      </c>
      <c r="EE30" s="6" t="s">
        <v>1</v>
      </c>
      <c r="EF30" s="6" t="s">
        <v>1</v>
      </c>
      <c r="EG30" s="6" t="s">
        <v>1</v>
      </c>
      <c r="EH30" s="6" t="s">
        <v>1</v>
      </c>
      <c r="EI30" s="6" t="s">
        <v>1</v>
      </c>
      <c r="EJ30" s="6" t="s">
        <v>1</v>
      </c>
      <c r="EK30" s="6" t="s">
        <v>1</v>
      </c>
      <c r="EL30" s="6" t="s">
        <v>1</v>
      </c>
      <c r="EM30" s="6" t="s">
        <v>1</v>
      </c>
      <c r="EN30" s="6" t="s">
        <v>1</v>
      </c>
      <c r="EO30" s="6" t="s">
        <v>1</v>
      </c>
      <c r="EP30" s="6" t="s">
        <v>1</v>
      </c>
      <c r="EQ30" s="6" t="s">
        <v>1</v>
      </c>
    </row>
    <row r="31" spans="1:147" ht="12">
      <c r="A31" s="1" t="s">
        <v>40</v>
      </c>
      <c r="B31" s="24">
        <f>15-50</f>
        <v>-35</v>
      </c>
      <c r="C31" s="8">
        <v>34</v>
      </c>
      <c r="D31" s="23">
        <f>16-39</f>
        <v>-23</v>
      </c>
      <c r="E31" s="8">
        <v>45</v>
      </c>
      <c r="F31" s="23">
        <f>18-41</f>
        <v>-23</v>
      </c>
      <c r="G31" s="8">
        <v>41</v>
      </c>
      <c r="H31" s="23">
        <f>13-75</f>
        <v>-62</v>
      </c>
      <c r="I31" s="8">
        <v>12</v>
      </c>
      <c r="J31" s="23">
        <f>40-27</f>
        <v>13</v>
      </c>
      <c r="K31" s="8">
        <v>33</v>
      </c>
      <c r="L31" s="20">
        <v>0</v>
      </c>
      <c r="M31" s="23">
        <f>22-34</f>
        <v>-12</v>
      </c>
      <c r="N31" s="8">
        <v>44</v>
      </c>
      <c r="O31" s="20">
        <v>-2.2</v>
      </c>
      <c r="P31" s="23">
        <f>26-35</f>
        <v>-9</v>
      </c>
      <c r="Q31" s="8">
        <v>40</v>
      </c>
      <c r="R31" s="20">
        <v>-1.8</v>
      </c>
      <c r="S31" s="23">
        <f>78-11</f>
        <v>67</v>
      </c>
      <c r="T31" s="8">
        <v>11</v>
      </c>
      <c r="U31" s="20">
        <v>4.9</v>
      </c>
      <c r="V31" s="23">
        <f>11-4</f>
        <v>7</v>
      </c>
      <c r="W31" s="10">
        <v>85</v>
      </c>
      <c r="X31" s="23">
        <f>13-6</f>
        <v>7</v>
      </c>
      <c r="Y31" s="10">
        <v>81</v>
      </c>
      <c r="Z31" s="23">
        <f>12-4</f>
        <v>8</v>
      </c>
      <c r="AA31" s="10">
        <v>84</v>
      </c>
      <c r="AB31" s="23">
        <f>7-1</f>
        <v>6</v>
      </c>
      <c r="AC31" s="10">
        <v>92</v>
      </c>
      <c r="AD31" s="23">
        <f>45-18</f>
        <v>27</v>
      </c>
      <c r="AE31" s="10">
        <v>37</v>
      </c>
      <c r="AF31" s="23">
        <f>40-17</f>
        <v>23</v>
      </c>
      <c r="AG31" s="10">
        <v>43</v>
      </c>
      <c r="AH31" s="23">
        <f>40-15</f>
        <v>25</v>
      </c>
      <c r="AI31" s="10">
        <v>45</v>
      </c>
      <c r="AJ31" s="23">
        <f>56-23</f>
        <v>33</v>
      </c>
      <c r="AK31" s="10">
        <v>21</v>
      </c>
      <c r="AL31" s="23">
        <f>42-16</f>
        <v>26</v>
      </c>
      <c r="AM31" s="10">
        <v>42</v>
      </c>
      <c r="AN31" s="23">
        <f>35-17</f>
        <v>18</v>
      </c>
      <c r="AO31" s="10">
        <v>48</v>
      </c>
      <c r="AP31" s="23">
        <f>35-17</f>
        <v>18</v>
      </c>
      <c r="AQ31" s="10">
        <v>48</v>
      </c>
      <c r="AR31" s="23">
        <f>56-13</f>
        <v>43</v>
      </c>
      <c r="AS31" s="10">
        <v>30</v>
      </c>
      <c r="AT31" s="12">
        <v>33</v>
      </c>
      <c r="AU31" s="12">
        <v>64</v>
      </c>
      <c r="AV31" s="12">
        <v>2</v>
      </c>
      <c r="AW31" s="24">
        <f aca="true" t="shared" si="6" ref="AW31:AW46">AT31-AV31</f>
        <v>31</v>
      </c>
      <c r="AX31" s="12">
        <v>1</v>
      </c>
      <c r="AY31" s="12">
        <v>38</v>
      </c>
      <c r="AZ31" s="12">
        <v>60</v>
      </c>
      <c r="BA31" s="12">
        <v>2</v>
      </c>
      <c r="BB31" s="24">
        <f aca="true" t="shared" si="7" ref="BB31:BB55">AY31-BA31</f>
        <v>36</v>
      </c>
      <c r="BC31" s="12">
        <v>0</v>
      </c>
      <c r="BD31" s="12">
        <v>76</v>
      </c>
      <c r="BE31" s="12">
        <v>24</v>
      </c>
      <c r="BF31" s="12">
        <v>0</v>
      </c>
      <c r="BG31" s="24">
        <f aca="true" t="shared" si="8" ref="BG31:BG55">BD31-BF31</f>
        <v>76</v>
      </c>
      <c r="BH31" s="12">
        <v>0</v>
      </c>
      <c r="BI31" s="8">
        <v>47</v>
      </c>
      <c r="BJ31" s="8">
        <v>51</v>
      </c>
      <c r="BK31" s="8">
        <v>2</v>
      </c>
      <c r="BL31" s="24">
        <f aca="true" t="shared" si="9" ref="BL31:BL55">BI31-BK31</f>
        <v>45</v>
      </c>
      <c r="BM31" s="8">
        <v>0</v>
      </c>
      <c r="BN31" s="8"/>
      <c r="BO31" s="8"/>
      <c r="BP31" s="24">
        <f>13-55</f>
        <v>-42</v>
      </c>
      <c r="BQ31" s="8">
        <v>32</v>
      </c>
      <c r="BR31" s="24">
        <f>13-50</f>
        <v>-37</v>
      </c>
      <c r="BS31" s="8">
        <v>37</v>
      </c>
      <c r="BT31" s="24">
        <f>16-50</f>
        <v>-34</v>
      </c>
      <c r="BU31" s="8">
        <v>34</v>
      </c>
      <c r="BV31" s="24">
        <f>11-69</f>
        <v>-58</v>
      </c>
      <c r="BW31" s="8">
        <v>19</v>
      </c>
      <c r="BX31" s="22" t="s">
        <v>1</v>
      </c>
      <c r="BY31" s="22" t="s">
        <v>1</v>
      </c>
      <c r="BZ31" s="24">
        <f>33-35</f>
        <v>-2</v>
      </c>
      <c r="CA31" s="8">
        <v>32</v>
      </c>
      <c r="CB31" s="20">
        <v>-1.254</v>
      </c>
      <c r="CC31" s="24">
        <f>19-44</f>
        <v>-25</v>
      </c>
      <c r="CD31" s="8">
        <v>37</v>
      </c>
      <c r="CE31" s="20">
        <v>-3.3</v>
      </c>
      <c r="CF31" s="24">
        <f>23-42</f>
        <v>-19</v>
      </c>
      <c r="CG31" s="8">
        <v>35</v>
      </c>
      <c r="CH31" s="20">
        <v>-2.8</v>
      </c>
      <c r="CI31" s="24">
        <f>67-13</f>
        <v>54</v>
      </c>
      <c r="CJ31" s="8">
        <v>20</v>
      </c>
      <c r="CK31" s="20">
        <v>3.855</v>
      </c>
      <c r="CL31" s="22" t="s">
        <v>1</v>
      </c>
      <c r="CM31" s="22" t="s">
        <v>1</v>
      </c>
      <c r="CN31" s="22" t="s">
        <v>1</v>
      </c>
      <c r="CO31" s="24">
        <f>17-5</f>
        <v>12</v>
      </c>
      <c r="CP31" s="10">
        <v>78</v>
      </c>
      <c r="CQ31" s="24">
        <f>19-6</f>
        <v>13</v>
      </c>
      <c r="CR31" s="10">
        <v>75</v>
      </c>
      <c r="CS31" s="24">
        <f>18-5</f>
        <v>13</v>
      </c>
      <c r="CT31" s="10">
        <v>77</v>
      </c>
      <c r="CU31" s="24">
        <f>12-1</f>
        <v>11</v>
      </c>
      <c r="CV31" s="10">
        <v>87</v>
      </c>
      <c r="CW31" s="22" t="s">
        <v>1</v>
      </c>
      <c r="CX31" s="22" t="s">
        <v>1</v>
      </c>
      <c r="CY31" s="24">
        <f>46-18</f>
        <v>28</v>
      </c>
      <c r="CZ31" s="10">
        <v>35</v>
      </c>
      <c r="DA31" s="24">
        <f>39-18</f>
        <v>21</v>
      </c>
      <c r="DB31" s="10">
        <v>43</v>
      </c>
      <c r="DC31" s="24">
        <f>41-19</f>
        <v>22</v>
      </c>
      <c r="DD31" s="12">
        <v>40</v>
      </c>
      <c r="DE31" s="24">
        <f>64-19</f>
        <v>45</v>
      </c>
      <c r="DF31" s="12">
        <v>18</v>
      </c>
      <c r="DG31" s="22" t="s">
        <v>1</v>
      </c>
      <c r="DH31" s="22" t="s">
        <v>1</v>
      </c>
      <c r="DI31" s="24">
        <f>37-21</f>
        <v>16</v>
      </c>
      <c r="DJ31" s="12">
        <v>42</v>
      </c>
      <c r="DK31" s="24">
        <f>30-23</f>
        <v>7</v>
      </c>
      <c r="DL31" s="12">
        <v>46</v>
      </c>
      <c r="DM31" s="24">
        <f>33-23</f>
        <v>10</v>
      </c>
      <c r="DN31" s="12">
        <v>44</v>
      </c>
      <c r="DO31" s="24">
        <f>53-15</f>
        <v>38</v>
      </c>
      <c r="DP31" s="12">
        <v>32</v>
      </c>
      <c r="DQ31" s="22" t="s">
        <v>1</v>
      </c>
      <c r="DR31" s="22" t="s">
        <v>1</v>
      </c>
      <c r="DS31" s="12">
        <v>32</v>
      </c>
      <c r="DT31" s="12">
        <v>65</v>
      </c>
      <c r="DU31" s="12">
        <v>3</v>
      </c>
      <c r="DV31" s="24">
        <f aca="true" t="shared" si="10" ref="DV31:DV50">DS31-DU31</f>
        <v>29</v>
      </c>
      <c r="DW31" s="12">
        <v>1</v>
      </c>
      <c r="DX31" s="12">
        <v>37</v>
      </c>
      <c r="DY31" s="12">
        <v>60</v>
      </c>
      <c r="DZ31" s="12">
        <v>2</v>
      </c>
      <c r="EA31" s="24">
        <f aca="true" t="shared" si="11" ref="EA31:EA50">DX31-DZ31</f>
        <v>35</v>
      </c>
      <c r="EB31" s="12">
        <v>0</v>
      </c>
      <c r="EC31" s="12">
        <v>76</v>
      </c>
      <c r="ED31" s="12">
        <v>23</v>
      </c>
      <c r="EE31" s="12">
        <v>0</v>
      </c>
      <c r="EF31" s="24">
        <f aca="true" t="shared" si="12" ref="EF31:EF59">EC31-EE31</f>
        <v>76</v>
      </c>
      <c r="EG31" s="12">
        <v>0</v>
      </c>
      <c r="EH31" s="6" t="s">
        <v>1</v>
      </c>
      <c r="EI31" s="6" t="s">
        <v>1</v>
      </c>
      <c r="EJ31" s="6" t="s">
        <v>1</v>
      </c>
      <c r="EK31" s="6" t="s">
        <v>1</v>
      </c>
      <c r="EL31" s="6" t="s">
        <v>1</v>
      </c>
      <c r="EM31" s="6" t="s">
        <v>1</v>
      </c>
      <c r="EN31" s="6" t="s">
        <v>1</v>
      </c>
      <c r="EO31" s="6" t="s">
        <v>1</v>
      </c>
      <c r="EP31" s="6" t="s">
        <v>1</v>
      </c>
      <c r="EQ31" s="6" t="s">
        <v>1</v>
      </c>
    </row>
    <row r="32" spans="1:147" ht="12">
      <c r="A32" s="1" t="s">
        <v>36</v>
      </c>
      <c r="B32" s="24">
        <f>41-23</f>
        <v>18</v>
      </c>
      <c r="C32" s="8">
        <v>36</v>
      </c>
      <c r="D32" s="23">
        <f>24-29</f>
        <v>-5</v>
      </c>
      <c r="E32" s="8">
        <v>47</v>
      </c>
      <c r="F32" s="23">
        <f>27-28</f>
        <v>-1</v>
      </c>
      <c r="G32" s="8">
        <v>45</v>
      </c>
      <c r="H32" s="23">
        <f>77-10</f>
        <v>67</v>
      </c>
      <c r="I32" s="8">
        <v>13</v>
      </c>
      <c r="J32" s="23">
        <f>41-27</f>
        <v>14</v>
      </c>
      <c r="K32" s="8">
        <v>32</v>
      </c>
      <c r="L32" s="20">
        <v>0.3</v>
      </c>
      <c r="M32" s="23">
        <f>22-34</f>
        <v>-12</v>
      </c>
      <c r="N32" s="8">
        <v>43</v>
      </c>
      <c r="O32" s="20">
        <v>-1.5</v>
      </c>
      <c r="P32" s="23">
        <f>25-37</f>
        <v>-12</v>
      </c>
      <c r="Q32" s="8">
        <v>38</v>
      </c>
      <c r="R32" s="20">
        <v>-1.4</v>
      </c>
      <c r="S32" s="23">
        <f>82-10</f>
        <v>72</v>
      </c>
      <c r="T32" s="8">
        <v>8</v>
      </c>
      <c r="U32" s="20">
        <v>4.3</v>
      </c>
      <c r="V32" s="23">
        <f>14-3</f>
        <v>11</v>
      </c>
      <c r="W32" s="10">
        <v>82</v>
      </c>
      <c r="X32" s="23">
        <f>10-5</f>
        <v>5</v>
      </c>
      <c r="Y32" s="10">
        <v>85</v>
      </c>
      <c r="Z32" s="23">
        <f>10-3</f>
        <v>7</v>
      </c>
      <c r="AA32" s="10">
        <v>87</v>
      </c>
      <c r="AB32" s="23">
        <f>25-1</f>
        <v>24</v>
      </c>
      <c r="AC32" s="10">
        <v>75</v>
      </c>
      <c r="AD32" s="23">
        <f>39-24</f>
        <v>15</v>
      </c>
      <c r="AE32" s="10">
        <v>37</v>
      </c>
      <c r="AF32" s="23">
        <f>24-30</f>
        <v>-6</v>
      </c>
      <c r="AG32" s="10">
        <v>46</v>
      </c>
      <c r="AH32" s="23">
        <f>23-29</f>
        <v>-6</v>
      </c>
      <c r="AI32" s="10">
        <v>49</v>
      </c>
      <c r="AJ32" s="23">
        <f>74-11</f>
        <v>63</v>
      </c>
      <c r="AK32" s="10">
        <v>15</v>
      </c>
      <c r="AL32" s="23">
        <f>36-24</f>
        <v>12</v>
      </c>
      <c r="AM32" s="10">
        <v>40</v>
      </c>
      <c r="AN32" s="23">
        <f>21-29</f>
        <v>-8</v>
      </c>
      <c r="AO32" s="10">
        <v>50</v>
      </c>
      <c r="AP32" s="23">
        <f>19-30</f>
        <v>-11</v>
      </c>
      <c r="AQ32" s="10">
        <v>51</v>
      </c>
      <c r="AR32" s="23">
        <f>71-12</f>
        <v>59</v>
      </c>
      <c r="AS32" s="10">
        <v>16</v>
      </c>
      <c r="AT32" s="12">
        <v>30</v>
      </c>
      <c r="AU32" s="12">
        <v>65</v>
      </c>
      <c r="AV32" s="12">
        <v>4</v>
      </c>
      <c r="AW32" s="24">
        <f t="shared" si="6"/>
        <v>26</v>
      </c>
      <c r="AX32" s="12">
        <v>1</v>
      </c>
      <c r="AY32" s="12">
        <v>30</v>
      </c>
      <c r="AZ32" s="12">
        <v>68</v>
      </c>
      <c r="BA32" s="12">
        <v>2</v>
      </c>
      <c r="BB32" s="24">
        <f t="shared" si="7"/>
        <v>28</v>
      </c>
      <c r="BC32" s="12">
        <v>0</v>
      </c>
      <c r="BD32" s="12">
        <v>70</v>
      </c>
      <c r="BE32" s="12">
        <v>30</v>
      </c>
      <c r="BF32" s="12">
        <v>0</v>
      </c>
      <c r="BG32" s="24">
        <f t="shared" si="8"/>
        <v>70</v>
      </c>
      <c r="BH32" s="12">
        <v>0</v>
      </c>
      <c r="BI32" s="8">
        <v>42</v>
      </c>
      <c r="BJ32" s="8">
        <v>55</v>
      </c>
      <c r="BK32" s="8">
        <v>2</v>
      </c>
      <c r="BL32" s="24">
        <f t="shared" si="9"/>
        <v>40</v>
      </c>
      <c r="BM32" s="8">
        <v>0</v>
      </c>
      <c r="BN32" s="8"/>
      <c r="BO32" s="8"/>
      <c r="BP32" s="24">
        <f>37-27</f>
        <v>10</v>
      </c>
      <c r="BQ32" s="8">
        <v>36</v>
      </c>
      <c r="BR32" s="24">
        <f>26-33</f>
        <v>-7</v>
      </c>
      <c r="BS32" s="8">
        <v>42</v>
      </c>
      <c r="BT32" s="24">
        <f>28-31</f>
        <v>-3</v>
      </c>
      <c r="BU32" s="8">
        <v>41</v>
      </c>
      <c r="BV32" s="24">
        <f>65-14</f>
        <v>51</v>
      </c>
      <c r="BW32" s="8">
        <v>21</v>
      </c>
      <c r="BX32" s="22" t="s">
        <v>1</v>
      </c>
      <c r="BY32" s="22" t="s">
        <v>1</v>
      </c>
      <c r="BZ32" s="24">
        <f>35-30</f>
        <v>5</v>
      </c>
      <c r="CA32" s="8">
        <v>35</v>
      </c>
      <c r="CB32" s="20">
        <v>-0.555</v>
      </c>
      <c r="CC32" s="24">
        <f>21-37</f>
        <v>-16</v>
      </c>
      <c r="CD32" s="8">
        <v>42</v>
      </c>
      <c r="CE32" s="20">
        <v>-2.5</v>
      </c>
      <c r="CF32" s="24">
        <f>25-36</f>
        <v>-11</v>
      </c>
      <c r="CG32" s="8">
        <v>39</v>
      </c>
      <c r="CH32" s="20">
        <v>-1.7</v>
      </c>
      <c r="CI32" s="24">
        <f>71-12</f>
        <v>59</v>
      </c>
      <c r="CJ32" s="8">
        <v>17</v>
      </c>
      <c r="CK32" s="20">
        <v>4.11</v>
      </c>
      <c r="CL32" s="22" t="s">
        <v>1</v>
      </c>
      <c r="CM32" s="22" t="s">
        <v>1</v>
      </c>
      <c r="CN32" s="22" t="s">
        <v>1</v>
      </c>
      <c r="CO32" s="24">
        <f>17-3</f>
        <v>14</v>
      </c>
      <c r="CP32" s="10">
        <v>79</v>
      </c>
      <c r="CQ32" s="24">
        <f>19-4</f>
        <v>15</v>
      </c>
      <c r="CR32" s="10">
        <v>77</v>
      </c>
      <c r="CS32" s="24">
        <f>16-4</f>
        <v>12</v>
      </c>
      <c r="CT32" s="10">
        <v>79</v>
      </c>
      <c r="CU32" s="24">
        <f>14-1</f>
        <v>13</v>
      </c>
      <c r="CV32" s="10">
        <v>85</v>
      </c>
      <c r="CW32" s="22" t="s">
        <v>1</v>
      </c>
      <c r="CX32" s="22" t="s">
        <v>1</v>
      </c>
      <c r="CY32" s="24">
        <f>38-21</f>
        <v>17</v>
      </c>
      <c r="CZ32" s="10">
        <v>40</v>
      </c>
      <c r="DA32" s="24">
        <f>31-23</f>
        <v>8</v>
      </c>
      <c r="DB32" s="10">
        <v>46</v>
      </c>
      <c r="DC32" s="24">
        <f>29-25</f>
        <v>4</v>
      </c>
      <c r="DD32" s="12">
        <v>46</v>
      </c>
      <c r="DE32" s="24">
        <f>59-15</f>
        <v>44</v>
      </c>
      <c r="DF32" s="12">
        <v>25</v>
      </c>
      <c r="DG32" s="22" t="s">
        <v>1</v>
      </c>
      <c r="DH32" s="22" t="s">
        <v>1</v>
      </c>
      <c r="DI32" s="24">
        <f>33-24</f>
        <v>9</v>
      </c>
      <c r="DJ32" s="12">
        <v>42</v>
      </c>
      <c r="DK32" s="24">
        <f>25-27</f>
        <v>-2</v>
      </c>
      <c r="DL32" s="12">
        <v>48</v>
      </c>
      <c r="DM32" s="24">
        <f>25-28</f>
        <v>-3</v>
      </c>
      <c r="DN32" s="12">
        <v>48</v>
      </c>
      <c r="DO32" s="24">
        <f>55-16</f>
        <v>39</v>
      </c>
      <c r="DP32" s="12">
        <v>28</v>
      </c>
      <c r="DQ32" s="22" t="s">
        <v>1</v>
      </c>
      <c r="DR32" s="22" t="s">
        <v>1</v>
      </c>
      <c r="DS32" s="12">
        <v>33</v>
      </c>
      <c r="DT32" s="12">
        <v>64</v>
      </c>
      <c r="DU32" s="12">
        <v>2</v>
      </c>
      <c r="DV32" s="24">
        <f t="shared" si="10"/>
        <v>31</v>
      </c>
      <c r="DW32" s="12">
        <v>1</v>
      </c>
      <c r="DX32" s="12">
        <v>35</v>
      </c>
      <c r="DY32" s="12">
        <v>62</v>
      </c>
      <c r="DZ32" s="12">
        <v>2</v>
      </c>
      <c r="EA32" s="24">
        <f t="shared" si="11"/>
        <v>33</v>
      </c>
      <c r="EB32" s="12">
        <v>0</v>
      </c>
      <c r="EC32" s="12">
        <v>63</v>
      </c>
      <c r="ED32" s="12">
        <v>36</v>
      </c>
      <c r="EE32" s="12">
        <v>1</v>
      </c>
      <c r="EF32" s="24">
        <f t="shared" si="12"/>
        <v>62</v>
      </c>
      <c r="EG32" s="12">
        <v>0</v>
      </c>
      <c r="EH32" s="6" t="s">
        <v>1</v>
      </c>
      <c r="EI32" s="6" t="s">
        <v>1</v>
      </c>
      <c r="EJ32" s="6" t="s">
        <v>1</v>
      </c>
      <c r="EK32" s="6" t="s">
        <v>1</v>
      </c>
      <c r="EL32" s="6" t="s">
        <v>1</v>
      </c>
      <c r="EM32" s="6" t="s">
        <v>1</v>
      </c>
      <c r="EN32" s="6" t="s">
        <v>1</v>
      </c>
      <c r="EO32" s="6" t="s">
        <v>1</v>
      </c>
      <c r="EP32" s="6" t="s">
        <v>1</v>
      </c>
      <c r="EQ32" s="6" t="s">
        <v>1</v>
      </c>
    </row>
    <row r="33" spans="1:147" ht="12">
      <c r="A33" s="1" t="s">
        <v>32</v>
      </c>
      <c r="B33" s="24">
        <f>19-49</f>
        <v>-30</v>
      </c>
      <c r="C33" s="8">
        <v>32</v>
      </c>
      <c r="D33" s="23">
        <f>25-33</f>
        <v>-8</v>
      </c>
      <c r="E33" s="8">
        <v>42</v>
      </c>
      <c r="F33" s="23">
        <f>23-31</f>
        <v>-8</v>
      </c>
      <c r="G33" s="8">
        <v>46</v>
      </c>
      <c r="H33" s="23">
        <f>11-74</f>
        <v>-63</v>
      </c>
      <c r="I33" s="8">
        <v>15</v>
      </c>
      <c r="J33" s="23">
        <f>47-23</f>
        <v>24</v>
      </c>
      <c r="K33" s="8">
        <v>30</v>
      </c>
      <c r="L33" s="20">
        <v>0.7</v>
      </c>
      <c r="M33" s="23">
        <f>25-34</f>
        <v>-9</v>
      </c>
      <c r="N33" s="8">
        <v>41</v>
      </c>
      <c r="O33" s="20">
        <v>-1.9</v>
      </c>
      <c r="P33" s="23">
        <f>25-32</f>
        <v>-7</v>
      </c>
      <c r="Q33" s="8">
        <v>43</v>
      </c>
      <c r="R33" s="20">
        <v>-1.6</v>
      </c>
      <c r="S33" s="23">
        <f>82-5</f>
        <v>77</v>
      </c>
      <c r="T33" s="8">
        <v>13</v>
      </c>
      <c r="U33" s="20">
        <v>4.5</v>
      </c>
      <c r="V33" s="23">
        <f>11-1</f>
        <v>10</v>
      </c>
      <c r="W33" s="10">
        <v>88</v>
      </c>
      <c r="X33" s="23">
        <f>14-2</f>
        <v>12</v>
      </c>
      <c r="Y33" s="10">
        <v>84</v>
      </c>
      <c r="Z33" s="23">
        <f>12-2</f>
        <v>10</v>
      </c>
      <c r="AA33" s="10">
        <v>87</v>
      </c>
      <c r="AB33" s="23">
        <f>8-0</f>
        <v>8</v>
      </c>
      <c r="AC33" s="10">
        <v>92</v>
      </c>
      <c r="AD33" s="23">
        <f>55-11</f>
        <v>44</v>
      </c>
      <c r="AE33" s="10">
        <v>35</v>
      </c>
      <c r="AF33" s="23">
        <f>40-14</f>
        <v>26</v>
      </c>
      <c r="AG33" s="10">
        <v>46</v>
      </c>
      <c r="AH33" s="23">
        <f>44-12</f>
        <v>32</v>
      </c>
      <c r="AI33" s="10">
        <v>44</v>
      </c>
      <c r="AJ33" s="23">
        <f>76-6</f>
        <v>70</v>
      </c>
      <c r="AK33" s="10">
        <v>18</v>
      </c>
      <c r="AL33" s="23">
        <f>49-10</f>
        <v>39</v>
      </c>
      <c r="AM33" s="10">
        <v>41</v>
      </c>
      <c r="AN33" s="23">
        <f>35-14</f>
        <v>21</v>
      </c>
      <c r="AO33" s="10">
        <v>52</v>
      </c>
      <c r="AP33" s="23">
        <f>36-12</f>
        <v>24</v>
      </c>
      <c r="AQ33" s="10">
        <v>52</v>
      </c>
      <c r="AR33" s="23">
        <f>70-5</f>
        <v>65</v>
      </c>
      <c r="AS33" s="10">
        <v>25</v>
      </c>
      <c r="AT33" s="12">
        <v>33</v>
      </c>
      <c r="AU33" s="12">
        <v>62</v>
      </c>
      <c r="AV33" s="12">
        <v>4</v>
      </c>
      <c r="AW33" s="24">
        <f t="shared" si="6"/>
        <v>29</v>
      </c>
      <c r="AX33" s="12">
        <v>1</v>
      </c>
      <c r="AY33" s="12">
        <v>36</v>
      </c>
      <c r="AZ33" s="12">
        <v>63</v>
      </c>
      <c r="BA33" s="12">
        <v>1</v>
      </c>
      <c r="BB33" s="24">
        <f t="shared" si="7"/>
        <v>35</v>
      </c>
      <c r="BC33" s="12">
        <v>0</v>
      </c>
      <c r="BD33" s="12">
        <v>84</v>
      </c>
      <c r="BE33" s="12">
        <v>15</v>
      </c>
      <c r="BF33" s="12">
        <v>1</v>
      </c>
      <c r="BG33" s="24">
        <f t="shared" si="8"/>
        <v>83</v>
      </c>
      <c r="BH33" s="12">
        <v>0</v>
      </c>
      <c r="BI33" s="8">
        <v>54</v>
      </c>
      <c r="BJ33" s="8">
        <v>44</v>
      </c>
      <c r="BK33" s="8">
        <v>2</v>
      </c>
      <c r="BL33" s="24">
        <f t="shared" si="9"/>
        <v>52</v>
      </c>
      <c r="BM33" s="8">
        <v>1</v>
      </c>
      <c r="BN33" s="8"/>
      <c r="BO33" s="8"/>
      <c r="BP33" s="24">
        <f>21-44</f>
        <v>-23</v>
      </c>
      <c r="BQ33" s="8">
        <v>35</v>
      </c>
      <c r="BR33" s="24">
        <f>17-38</f>
        <v>-21</v>
      </c>
      <c r="BS33" s="8">
        <v>45</v>
      </c>
      <c r="BT33" s="24">
        <f>20-37</f>
        <v>-17</v>
      </c>
      <c r="BU33" s="8">
        <v>43</v>
      </c>
      <c r="BV33" s="24">
        <f>28-54</f>
        <v>-26</v>
      </c>
      <c r="BW33" s="8">
        <v>18</v>
      </c>
      <c r="BX33" s="22" t="s">
        <v>1</v>
      </c>
      <c r="BY33" s="22" t="s">
        <v>1</v>
      </c>
      <c r="BZ33" s="24">
        <f>36-30</f>
        <v>6</v>
      </c>
      <c r="CA33" s="8">
        <v>33</v>
      </c>
      <c r="CB33" s="20">
        <v>-0.496</v>
      </c>
      <c r="CC33" s="24">
        <f>16-39</f>
        <v>-23</v>
      </c>
      <c r="CD33" s="8">
        <v>45</v>
      </c>
      <c r="CE33" s="20">
        <v>-2.9</v>
      </c>
      <c r="CF33" s="24">
        <f>23-39</f>
        <v>-16</v>
      </c>
      <c r="CG33" s="8">
        <v>38</v>
      </c>
      <c r="CH33" s="20">
        <v>-2.1</v>
      </c>
      <c r="CI33" s="24">
        <f>71-14</f>
        <v>57</v>
      </c>
      <c r="CJ33" s="8">
        <v>15</v>
      </c>
      <c r="CK33" s="20">
        <v>3.519</v>
      </c>
      <c r="CL33" s="22" t="s">
        <v>1</v>
      </c>
      <c r="CM33" s="22" t="s">
        <v>1</v>
      </c>
      <c r="CN33" s="22" t="s">
        <v>1</v>
      </c>
      <c r="CO33" s="24">
        <f>14-4</f>
        <v>10</v>
      </c>
      <c r="CP33" s="10">
        <v>82</v>
      </c>
      <c r="CQ33" s="24">
        <f>14-6</f>
        <v>8</v>
      </c>
      <c r="CR33" s="10">
        <v>79</v>
      </c>
      <c r="CS33" s="24">
        <f>15-5</f>
        <v>10</v>
      </c>
      <c r="CT33" s="10">
        <v>80</v>
      </c>
      <c r="CU33" s="24">
        <f>12-2</f>
        <v>10</v>
      </c>
      <c r="CV33" s="10">
        <v>87</v>
      </c>
      <c r="CW33" s="22" t="s">
        <v>1</v>
      </c>
      <c r="CX33" s="22" t="s">
        <v>1</v>
      </c>
      <c r="CY33" s="24">
        <f>53-13</f>
        <v>40</v>
      </c>
      <c r="CZ33" s="10">
        <v>34</v>
      </c>
      <c r="DA33" s="24">
        <f>43-14</f>
        <v>29</v>
      </c>
      <c r="DB33" s="10">
        <v>42</v>
      </c>
      <c r="DC33" s="24">
        <f>50-12</f>
        <v>38</v>
      </c>
      <c r="DD33" s="12">
        <v>37</v>
      </c>
      <c r="DE33" s="24">
        <f>68-11</f>
        <v>57</v>
      </c>
      <c r="DF33" s="12">
        <v>21</v>
      </c>
      <c r="DG33" s="22" t="s">
        <v>1</v>
      </c>
      <c r="DH33" s="22" t="s">
        <v>1</v>
      </c>
      <c r="DI33" s="24">
        <f>44-16</f>
        <v>28</v>
      </c>
      <c r="DJ33" s="12">
        <v>40</v>
      </c>
      <c r="DK33" s="24">
        <f>32-18</f>
        <v>14</v>
      </c>
      <c r="DL33" s="12">
        <v>50</v>
      </c>
      <c r="DM33" s="24">
        <f>40-15</f>
        <v>25</v>
      </c>
      <c r="DN33" s="12">
        <v>45</v>
      </c>
      <c r="DO33" s="24">
        <f>62-13</f>
        <v>49</v>
      </c>
      <c r="DP33" s="12">
        <v>25</v>
      </c>
      <c r="DQ33" s="22" t="s">
        <v>1</v>
      </c>
      <c r="DR33" s="22" t="s">
        <v>1</v>
      </c>
      <c r="DS33" s="12">
        <v>30</v>
      </c>
      <c r="DT33" s="12">
        <v>67</v>
      </c>
      <c r="DU33" s="12">
        <v>2</v>
      </c>
      <c r="DV33" s="24">
        <f t="shared" si="10"/>
        <v>28</v>
      </c>
      <c r="DW33" s="12">
        <v>1</v>
      </c>
      <c r="DX33" s="12">
        <v>37</v>
      </c>
      <c r="DY33" s="12">
        <v>61</v>
      </c>
      <c r="DZ33" s="12">
        <v>2</v>
      </c>
      <c r="EA33" s="24">
        <f t="shared" si="11"/>
        <v>35</v>
      </c>
      <c r="EB33" s="12">
        <v>1</v>
      </c>
      <c r="EC33" s="12">
        <v>78</v>
      </c>
      <c r="ED33" s="12">
        <v>21</v>
      </c>
      <c r="EE33" s="12">
        <v>1</v>
      </c>
      <c r="EF33" s="24">
        <f t="shared" si="12"/>
        <v>77</v>
      </c>
      <c r="EG33" s="12">
        <v>0</v>
      </c>
      <c r="EH33" s="6" t="s">
        <v>1</v>
      </c>
      <c r="EI33" s="6" t="s">
        <v>1</v>
      </c>
      <c r="EJ33" s="6" t="s">
        <v>1</v>
      </c>
      <c r="EK33" s="6" t="s">
        <v>1</v>
      </c>
      <c r="EL33" s="6" t="s">
        <v>1</v>
      </c>
      <c r="EM33" s="6" t="s">
        <v>1</v>
      </c>
      <c r="EN33" s="6" t="s">
        <v>1</v>
      </c>
      <c r="EO33" s="6" t="s">
        <v>1</v>
      </c>
      <c r="EP33" s="6" t="s">
        <v>1</v>
      </c>
      <c r="EQ33" s="6" t="s">
        <v>1</v>
      </c>
    </row>
    <row r="34" spans="1:147" ht="12">
      <c r="A34" s="1" t="s">
        <v>33</v>
      </c>
      <c r="B34" s="24">
        <f>49-19</f>
        <v>30</v>
      </c>
      <c r="C34" s="8">
        <v>32</v>
      </c>
      <c r="D34" s="23">
        <f>41-20</f>
        <v>21</v>
      </c>
      <c r="E34" s="8">
        <v>38</v>
      </c>
      <c r="F34" s="23">
        <f>40-20</f>
        <v>20</v>
      </c>
      <c r="G34" s="8">
        <v>40</v>
      </c>
      <c r="H34" s="23">
        <f>69-16</f>
        <v>53</v>
      </c>
      <c r="I34" s="8">
        <v>15</v>
      </c>
      <c r="J34" s="23">
        <f>40-27</f>
        <v>13</v>
      </c>
      <c r="K34" s="8">
        <v>33</v>
      </c>
      <c r="L34" s="20">
        <v>0.7</v>
      </c>
      <c r="M34" s="23">
        <f>29-28</f>
        <v>1</v>
      </c>
      <c r="N34" s="8">
        <v>43</v>
      </c>
      <c r="O34" s="20">
        <v>-1.1</v>
      </c>
      <c r="P34" s="23">
        <f>28-29</f>
        <v>-1</v>
      </c>
      <c r="Q34" s="8">
        <v>43</v>
      </c>
      <c r="R34" s="20">
        <v>-0.8</v>
      </c>
      <c r="S34" s="23">
        <f>67-22</f>
        <v>45</v>
      </c>
      <c r="T34" s="8">
        <v>10</v>
      </c>
      <c r="U34" s="20">
        <v>4.9</v>
      </c>
      <c r="V34" s="23">
        <f>9-2</f>
        <v>7</v>
      </c>
      <c r="W34" s="10">
        <v>88</v>
      </c>
      <c r="X34" s="23">
        <f>12-3</f>
        <v>9</v>
      </c>
      <c r="Y34" s="10">
        <v>85</v>
      </c>
      <c r="Z34" s="23">
        <f>10-3</f>
        <v>7</v>
      </c>
      <c r="AA34" s="10">
        <v>87</v>
      </c>
      <c r="AB34" s="23">
        <f>3-1</f>
        <v>2</v>
      </c>
      <c r="AC34" s="10">
        <v>96</v>
      </c>
      <c r="AD34" s="23">
        <f>29-29</f>
        <v>0</v>
      </c>
      <c r="AE34" s="10">
        <v>42</v>
      </c>
      <c r="AF34" s="23">
        <f>17-32</f>
        <v>-15</v>
      </c>
      <c r="AG34" s="10">
        <v>51</v>
      </c>
      <c r="AH34" s="23">
        <f>15-29</f>
        <v>-14</v>
      </c>
      <c r="AI34" s="10">
        <v>56</v>
      </c>
      <c r="AJ34" s="23">
        <f>57-24</f>
        <v>33</v>
      </c>
      <c r="AK34" s="10">
        <v>18</v>
      </c>
      <c r="AL34" s="23">
        <f>26-28</f>
        <v>-2</v>
      </c>
      <c r="AM34" s="10">
        <v>46</v>
      </c>
      <c r="AN34" s="23">
        <f>16-28</f>
        <v>-12</v>
      </c>
      <c r="AO34" s="10">
        <v>56</v>
      </c>
      <c r="AP34" s="23">
        <f>13-25</f>
        <v>-12</v>
      </c>
      <c r="AQ34" s="10">
        <v>62</v>
      </c>
      <c r="AR34" s="23">
        <f>52-29</f>
        <v>23</v>
      </c>
      <c r="AS34" s="10">
        <v>19</v>
      </c>
      <c r="AT34" s="12">
        <v>36</v>
      </c>
      <c r="AU34" s="12">
        <v>62</v>
      </c>
      <c r="AV34" s="12">
        <v>2</v>
      </c>
      <c r="AW34" s="24">
        <f t="shared" si="6"/>
        <v>34</v>
      </c>
      <c r="AX34" s="12">
        <v>0</v>
      </c>
      <c r="AY34" s="12">
        <v>36</v>
      </c>
      <c r="AZ34" s="12">
        <v>63</v>
      </c>
      <c r="BA34" s="12">
        <v>2</v>
      </c>
      <c r="BB34" s="24">
        <f t="shared" si="7"/>
        <v>34</v>
      </c>
      <c r="BC34" s="12">
        <v>0</v>
      </c>
      <c r="BD34" s="12">
        <v>80</v>
      </c>
      <c r="BE34" s="12">
        <v>19</v>
      </c>
      <c r="BF34" s="12">
        <v>1</v>
      </c>
      <c r="BG34" s="24">
        <f t="shared" si="8"/>
        <v>79</v>
      </c>
      <c r="BH34" s="12">
        <v>0</v>
      </c>
      <c r="BI34" s="8">
        <v>49</v>
      </c>
      <c r="BJ34" s="8">
        <v>50</v>
      </c>
      <c r="BK34" s="8">
        <v>1</v>
      </c>
      <c r="BL34" s="24">
        <f t="shared" si="9"/>
        <v>48</v>
      </c>
      <c r="BM34" s="8">
        <v>0</v>
      </c>
      <c r="BN34" s="8"/>
      <c r="BO34" s="8"/>
      <c r="BP34" s="24">
        <f>45-25</f>
        <v>20</v>
      </c>
      <c r="BQ34" s="8">
        <v>30</v>
      </c>
      <c r="BR34" s="24">
        <f>35-26</f>
        <v>9</v>
      </c>
      <c r="BS34" s="8">
        <v>39</v>
      </c>
      <c r="BT34" s="24">
        <f>39-25</f>
        <v>14</v>
      </c>
      <c r="BU34" s="8">
        <v>37</v>
      </c>
      <c r="BV34" s="24">
        <f>61-24</f>
        <v>37</v>
      </c>
      <c r="BW34" s="8">
        <v>15</v>
      </c>
      <c r="BX34" s="22" t="s">
        <v>1</v>
      </c>
      <c r="BY34" s="22" t="s">
        <v>1</v>
      </c>
      <c r="BZ34" s="24">
        <f>34-35</f>
        <v>-1</v>
      </c>
      <c r="CA34" s="8">
        <v>31</v>
      </c>
      <c r="CB34" s="20">
        <v>-0.663</v>
      </c>
      <c r="CC34" s="24">
        <f>20-38</f>
        <v>-18</v>
      </c>
      <c r="CD34" s="8">
        <v>42</v>
      </c>
      <c r="CE34" s="20">
        <v>-2.6</v>
      </c>
      <c r="CF34" s="24">
        <f>24-39</f>
        <v>-15</v>
      </c>
      <c r="CG34" s="8">
        <v>37</v>
      </c>
      <c r="CH34" s="20">
        <v>-1.9</v>
      </c>
      <c r="CI34" s="24">
        <f>57-28</f>
        <v>29</v>
      </c>
      <c r="CJ34" s="8">
        <v>14</v>
      </c>
      <c r="CK34" s="20">
        <v>2.584</v>
      </c>
      <c r="CL34" s="22" t="s">
        <v>1</v>
      </c>
      <c r="CM34" s="22" t="s">
        <v>1</v>
      </c>
      <c r="CN34" s="22" t="s">
        <v>1</v>
      </c>
      <c r="CO34" s="24">
        <f>11-4</f>
        <v>7</v>
      </c>
      <c r="CP34" s="10">
        <v>86</v>
      </c>
      <c r="CQ34" s="24">
        <f>15-5</f>
        <v>10</v>
      </c>
      <c r="CR34" s="10">
        <v>80</v>
      </c>
      <c r="CS34" s="24">
        <f>13-5</f>
        <v>8</v>
      </c>
      <c r="CT34" s="10">
        <v>82</v>
      </c>
      <c r="CU34" s="24">
        <f>4-1</f>
        <v>3</v>
      </c>
      <c r="CV34" s="10">
        <v>95</v>
      </c>
      <c r="CW34" s="22" t="s">
        <v>1</v>
      </c>
      <c r="CX34" s="22" t="s">
        <v>1</v>
      </c>
      <c r="CY34" s="24">
        <f>23-35</f>
        <v>-12</v>
      </c>
      <c r="CZ34" s="10">
        <v>42</v>
      </c>
      <c r="DA34" s="24">
        <f>16-33</f>
        <v>-17</v>
      </c>
      <c r="DB34" s="10">
        <v>50</v>
      </c>
      <c r="DC34" s="24">
        <f>18-32</f>
        <v>-14</v>
      </c>
      <c r="DD34" s="12">
        <v>50</v>
      </c>
      <c r="DE34" s="24">
        <f>34-38</f>
        <v>-4</v>
      </c>
      <c r="DF34" s="12">
        <v>28</v>
      </c>
      <c r="DG34" s="22" t="s">
        <v>1</v>
      </c>
      <c r="DH34" s="22" t="s">
        <v>1</v>
      </c>
      <c r="DI34" s="24">
        <f>23-30</f>
        <v>-7</v>
      </c>
      <c r="DJ34" s="12">
        <v>47</v>
      </c>
      <c r="DK34" s="24">
        <f>14-32</f>
        <v>-18</v>
      </c>
      <c r="DL34" s="12">
        <v>54</v>
      </c>
      <c r="DM34" s="24">
        <f>15-31</f>
        <v>-16</v>
      </c>
      <c r="DN34" s="12">
        <v>53</v>
      </c>
      <c r="DO34" s="24">
        <f>40-26</f>
        <v>14</v>
      </c>
      <c r="DP34" s="12">
        <v>34</v>
      </c>
      <c r="DQ34" s="22" t="s">
        <v>1</v>
      </c>
      <c r="DR34" s="22" t="s">
        <v>1</v>
      </c>
      <c r="DS34" s="12">
        <v>32</v>
      </c>
      <c r="DT34" s="12">
        <v>65</v>
      </c>
      <c r="DU34" s="12">
        <v>3</v>
      </c>
      <c r="DV34" s="24">
        <f t="shared" si="10"/>
        <v>29</v>
      </c>
      <c r="DW34" s="12">
        <v>1</v>
      </c>
      <c r="DX34" s="12">
        <v>34</v>
      </c>
      <c r="DY34" s="12">
        <v>63</v>
      </c>
      <c r="DZ34" s="12">
        <v>2</v>
      </c>
      <c r="EA34" s="24">
        <f t="shared" si="11"/>
        <v>32</v>
      </c>
      <c r="EB34" s="12">
        <v>0</v>
      </c>
      <c r="EC34" s="12">
        <v>75</v>
      </c>
      <c r="ED34" s="12">
        <v>24</v>
      </c>
      <c r="EE34" s="12">
        <v>1</v>
      </c>
      <c r="EF34" s="24">
        <f t="shared" si="12"/>
        <v>74</v>
      </c>
      <c r="EG34" s="12">
        <v>0</v>
      </c>
      <c r="EH34" s="6" t="s">
        <v>1</v>
      </c>
      <c r="EI34" s="6" t="s">
        <v>1</v>
      </c>
      <c r="EJ34" s="6" t="s">
        <v>1</v>
      </c>
      <c r="EK34" s="6" t="s">
        <v>1</v>
      </c>
      <c r="EL34" s="6" t="s">
        <v>1</v>
      </c>
      <c r="EM34" s="6" t="s">
        <v>1</v>
      </c>
      <c r="EN34" s="6" t="s">
        <v>1</v>
      </c>
      <c r="EO34" s="6" t="s">
        <v>1</v>
      </c>
      <c r="EP34" s="6" t="s">
        <v>1</v>
      </c>
      <c r="EQ34" s="6" t="s">
        <v>1</v>
      </c>
    </row>
    <row r="35" spans="1:147" ht="12">
      <c r="A35" s="1" t="s">
        <v>41</v>
      </c>
      <c r="B35" s="24">
        <f aca="true" t="shared" si="13" ref="B35:AV35">AVERAGE(B31:B34)</f>
        <v>-4.25</v>
      </c>
      <c r="C35" s="13">
        <f t="shared" si="13"/>
        <v>33.5</v>
      </c>
      <c r="D35" s="24">
        <f t="shared" si="13"/>
        <v>-3.75</v>
      </c>
      <c r="E35" s="13">
        <f t="shared" si="13"/>
        <v>43</v>
      </c>
      <c r="F35" s="24">
        <f t="shared" si="13"/>
        <v>-3</v>
      </c>
      <c r="G35" s="13">
        <f t="shared" si="13"/>
        <v>43</v>
      </c>
      <c r="H35" s="24">
        <f t="shared" si="13"/>
        <v>-1.25</v>
      </c>
      <c r="I35" s="13">
        <f t="shared" si="13"/>
        <v>13.75</v>
      </c>
      <c r="J35" s="24">
        <f t="shared" si="13"/>
        <v>16</v>
      </c>
      <c r="K35" s="13">
        <f t="shared" si="13"/>
        <v>32</v>
      </c>
      <c r="L35" s="21">
        <f t="shared" si="13"/>
        <v>0.425</v>
      </c>
      <c r="M35" s="24">
        <f t="shared" si="13"/>
        <v>-8</v>
      </c>
      <c r="N35" s="13">
        <f t="shared" si="13"/>
        <v>42.75</v>
      </c>
      <c r="O35" s="21">
        <f t="shared" si="13"/>
        <v>-1.6749999999999998</v>
      </c>
      <c r="P35" s="24">
        <f t="shared" si="13"/>
        <v>-7.25</v>
      </c>
      <c r="Q35" s="13">
        <f t="shared" si="13"/>
        <v>41</v>
      </c>
      <c r="R35" s="21">
        <f t="shared" si="13"/>
        <v>-1.4000000000000001</v>
      </c>
      <c r="S35" s="24">
        <f t="shared" si="13"/>
        <v>65.25</v>
      </c>
      <c r="T35" s="13">
        <f t="shared" si="13"/>
        <v>10.5</v>
      </c>
      <c r="U35" s="21">
        <f t="shared" si="13"/>
        <v>4.65</v>
      </c>
      <c r="V35" s="24">
        <f t="shared" si="13"/>
        <v>8.75</v>
      </c>
      <c r="W35" s="13">
        <f t="shared" si="13"/>
        <v>85.75</v>
      </c>
      <c r="X35" s="24">
        <f t="shared" si="13"/>
        <v>8.25</v>
      </c>
      <c r="Y35" s="13">
        <f t="shared" si="13"/>
        <v>83.75</v>
      </c>
      <c r="Z35" s="24">
        <f t="shared" si="13"/>
        <v>8</v>
      </c>
      <c r="AA35" s="13">
        <f t="shared" si="13"/>
        <v>86.25</v>
      </c>
      <c r="AB35" s="24">
        <f t="shared" si="13"/>
        <v>10</v>
      </c>
      <c r="AC35" s="13">
        <f t="shared" si="13"/>
        <v>88.75</v>
      </c>
      <c r="AD35" s="24">
        <f t="shared" si="13"/>
        <v>21.5</v>
      </c>
      <c r="AE35" s="13">
        <f t="shared" si="13"/>
        <v>37.75</v>
      </c>
      <c r="AF35" s="24">
        <f t="shared" si="13"/>
        <v>7</v>
      </c>
      <c r="AG35" s="13">
        <f t="shared" si="13"/>
        <v>46.5</v>
      </c>
      <c r="AH35" s="24">
        <f t="shared" si="13"/>
        <v>9.25</v>
      </c>
      <c r="AI35" s="13">
        <f t="shared" si="13"/>
        <v>48.5</v>
      </c>
      <c r="AJ35" s="24">
        <f t="shared" si="13"/>
        <v>49.75</v>
      </c>
      <c r="AK35" s="13">
        <f t="shared" si="13"/>
        <v>18</v>
      </c>
      <c r="AL35" s="24">
        <f t="shared" si="13"/>
        <v>18.75</v>
      </c>
      <c r="AM35" s="13">
        <f t="shared" si="13"/>
        <v>42.25</v>
      </c>
      <c r="AN35" s="24">
        <f t="shared" si="13"/>
        <v>4.75</v>
      </c>
      <c r="AO35" s="13">
        <f t="shared" si="13"/>
        <v>51.5</v>
      </c>
      <c r="AP35" s="24">
        <f t="shared" si="13"/>
        <v>4.75</v>
      </c>
      <c r="AQ35" s="13">
        <f t="shared" si="13"/>
        <v>53.25</v>
      </c>
      <c r="AR35" s="24">
        <f t="shared" si="13"/>
        <v>47.5</v>
      </c>
      <c r="AS35" s="13">
        <f t="shared" si="13"/>
        <v>22.5</v>
      </c>
      <c r="AT35" s="13">
        <f t="shared" si="13"/>
        <v>33</v>
      </c>
      <c r="AU35" s="13">
        <f t="shared" si="13"/>
        <v>63.25</v>
      </c>
      <c r="AV35" s="13">
        <f t="shared" si="13"/>
        <v>3</v>
      </c>
      <c r="AW35" s="24">
        <f t="shared" si="6"/>
        <v>30</v>
      </c>
      <c r="AX35" s="13">
        <f>AVERAGE(AX31:AX34)</f>
        <v>0.75</v>
      </c>
      <c r="AY35" s="13">
        <f>AVERAGE(AY31:AY34)</f>
        <v>35</v>
      </c>
      <c r="AZ35" s="13">
        <f>AVERAGE(AZ31:AZ34)</f>
        <v>63.5</v>
      </c>
      <c r="BA35" s="13">
        <f>AVERAGE(BA31:BA34)</f>
        <v>1.75</v>
      </c>
      <c r="BB35" s="24">
        <f t="shared" si="7"/>
        <v>33.25</v>
      </c>
      <c r="BC35" s="13">
        <f>AVERAGE(BC31:BC34)</f>
        <v>0</v>
      </c>
      <c r="BD35" s="13">
        <f>AVERAGE(BD31:BD34)</f>
        <v>77.5</v>
      </c>
      <c r="BE35" s="13">
        <f>AVERAGE(BE31:BE34)</f>
        <v>22</v>
      </c>
      <c r="BF35" s="13">
        <f>AVERAGE(BF31:BF34)</f>
        <v>0.5</v>
      </c>
      <c r="BG35" s="24">
        <f t="shared" si="8"/>
        <v>77</v>
      </c>
      <c r="BH35" s="13">
        <f aca="true" t="shared" si="14" ref="BH35:DU35">AVERAGE(BH31:BH34)</f>
        <v>0</v>
      </c>
      <c r="BI35" s="13">
        <f>AVERAGE(BI31:BI34)</f>
        <v>48</v>
      </c>
      <c r="BJ35" s="13">
        <f>AVERAGE(BJ31:BJ34)</f>
        <v>50</v>
      </c>
      <c r="BK35" s="13">
        <f>AVERAGE(BK31:BK34)</f>
        <v>1.75</v>
      </c>
      <c r="BL35" s="24">
        <f t="shared" si="9"/>
        <v>46.25</v>
      </c>
      <c r="BM35" s="13">
        <f>AVERAGE(BM31:BM34)</f>
        <v>0.25</v>
      </c>
      <c r="BN35" s="13"/>
      <c r="BO35" s="13"/>
      <c r="BP35" s="24">
        <f t="shared" si="14"/>
        <v>-8.75</v>
      </c>
      <c r="BQ35" s="13">
        <f t="shared" si="14"/>
        <v>33.25</v>
      </c>
      <c r="BR35" s="24">
        <f t="shared" si="14"/>
        <v>-14</v>
      </c>
      <c r="BS35" s="13">
        <f t="shared" si="14"/>
        <v>40.75</v>
      </c>
      <c r="BT35" s="24">
        <f t="shared" si="14"/>
        <v>-10</v>
      </c>
      <c r="BU35" s="13">
        <f t="shared" si="14"/>
        <v>38.75</v>
      </c>
      <c r="BV35" s="24">
        <f t="shared" si="14"/>
        <v>1</v>
      </c>
      <c r="BW35" s="13">
        <f t="shared" si="14"/>
        <v>18.25</v>
      </c>
      <c r="BX35" s="22" t="s">
        <v>1</v>
      </c>
      <c r="BY35" s="22" t="s">
        <v>1</v>
      </c>
      <c r="BZ35" s="24">
        <f t="shared" si="14"/>
        <v>2</v>
      </c>
      <c r="CA35" s="13">
        <f t="shared" si="14"/>
        <v>32.75</v>
      </c>
      <c r="CB35" s="21">
        <f t="shared" si="14"/>
        <v>-0.742</v>
      </c>
      <c r="CC35" s="24">
        <f t="shared" si="14"/>
        <v>-20.5</v>
      </c>
      <c r="CD35" s="13">
        <f t="shared" si="14"/>
        <v>41.5</v>
      </c>
      <c r="CE35" s="21">
        <f t="shared" si="14"/>
        <v>-2.8249999999999997</v>
      </c>
      <c r="CF35" s="24">
        <f t="shared" si="14"/>
        <v>-15.25</v>
      </c>
      <c r="CG35" s="13">
        <f t="shared" si="14"/>
        <v>37.25</v>
      </c>
      <c r="CH35" s="21">
        <f t="shared" si="14"/>
        <v>-2.125</v>
      </c>
      <c r="CI35" s="24">
        <f t="shared" si="14"/>
        <v>49.75</v>
      </c>
      <c r="CJ35" s="13">
        <f t="shared" si="14"/>
        <v>16.5</v>
      </c>
      <c r="CK35" s="21">
        <f t="shared" si="14"/>
        <v>3.517</v>
      </c>
      <c r="CL35" s="22" t="s">
        <v>1</v>
      </c>
      <c r="CM35" s="22" t="s">
        <v>1</v>
      </c>
      <c r="CN35" s="22" t="s">
        <v>1</v>
      </c>
      <c r="CO35" s="24">
        <f t="shared" si="14"/>
        <v>10.75</v>
      </c>
      <c r="CP35" s="13">
        <f t="shared" si="14"/>
        <v>81.25</v>
      </c>
      <c r="CQ35" s="24">
        <f t="shared" si="14"/>
        <v>11.5</v>
      </c>
      <c r="CR35" s="13">
        <f t="shared" si="14"/>
        <v>77.75</v>
      </c>
      <c r="CS35" s="24">
        <f t="shared" si="14"/>
        <v>10.75</v>
      </c>
      <c r="CT35" s="13">
        <f t="shared" si="14"/>
        <v>79.5</v>
      </c>
      <c r="CU35" s="24">
        <f t="shared" si="14"/>
        <v>9.25</v>
      </c>
      <c r="CV35" s="13">
        <f t="shared" si="14"/>
        <v>88.5</v>
      </c>
      <c r="CW35" s="22" t="s">
        <v>1</v>
      </c>
      <c r="CX35" s="22" t="s">
        <v>1</v>
      </c>
      <c r="CY35" s="24">
        <f t="shared" si="14"/>
        <v>18.25</v>
      </c>
      <c r="CZ35" s="13">
        <f t="shared" si="14"/>
        <v>37.75</v>
      </c>
      <c r="DA35" s="24">
        <f t="shared" si="14"/>
        <v>10.25</v>
      </c>
      <c r="DB35" s="13">
        <f t="shared" si="14"/>
        <v>45.25</v>
      </c>
      <c r="DC35" s="24">
        <f t="shared" si="14"/>
        <v>12.5</v>
      </c>
      <c r="DD35" s="13">
        <f t="shared" si="14"/>
        <v>43.25</v>
      </c>
      <c r="DE35" s="24">
        <f t="shared" si="14"/>
        <v>35.5</v>
      </c>
      <c r="DF35" s="13">
        <f t="shared" si="14"/>
        <v>23</v>
      </c>
      <c r="DG35" s="22" t="s">
        <v>1</v>
      </c>
      <c r="DH35" s="22" t="s">
        <v>1</v>
      </c>
      <c r="DI35" s="24">
        <f t="shared" si="14"/>
        <v>11.5</v>
      </c>
      <c r="DJ35" s="13">
        <f t="shared" si="14"/>
        <v>42.75</v>
      </c>
      <c r="DK35" s="24">
        <f t="shared" si="14"/>
        <v>0.25</v>
      </c>
      <c r="DL35" s="13">
        <f t="shared" si="14"/>
        <v>49.5</v>
      </c>
      <c r="DM35" s="24">
        <f t="shared" si="14"/>
        <v>4</v>
      </c>
      <c r="DN35" s="13">
        <f t="shared" si="14"/>
        <v>47.5</v>
      </c>
      <c r="DO35" s="24">
        <f t="shared" si="14"/>
        <v>35</v>
      </c>
      <c r="DP35" s="13">
        <f t="shared" si="14"/>
        <v>29.75</v>
      </c>
      <c r="DQ35" s="22" t="s">
        <v>1</v>
      </c>
      <c r="DR35" s="22" t="s">
        <v>1</v>
      </c>
      <c r="DS35" s="13">
        <f t="shared" si="14"/>
        <v>31.75</v>
      </c>
      <c r="DT35" s="13">
        <f t="shared" si="14"/>
        <v>65.25</v>
      </c>
      <c r="DU35" s="13">
        <f t="shared" si="14"/>
        <v>2.5</v>
      </c>
      <c r="DV35" s="24">
        <f t="shared" si="10"/>
        <v>29.25</v>
      </c>
      <c r="DW35" s="13">
        <f>AVERAGE(DW31:DW34)</f>
        <v>1</v>
      </c>
      <c r="DX35" s="13">
        <f>AVERAGE(DX31:DX34)</f>
        <v>35.75</v>
      </c>
      <c r="DY35" s="13">
        <f>AVERAGE(DY31:DY34)</f>
        <v>61.5</v>
      </c>
      <c r="DZ35" s="13">
        <f>AVERAGE(DZ31:DZ34)</f>
        <v>2</v>
      </c>
      <c r="EA35" s="24">
        <f t="shared" si="11"/>
        <v>33.75</v>
      </c>
      <c r="EB35" s="13">
        <f>AVERAGE(EB31:EB34)</f>
        <v>0.25</v>
      </c>
      <c r="EC35" s="13">
        <f>AVERAGE(EC31:EC34)</f>
        <v>73</v>
      </c>
      <c r="ED35" s="13">
        <f>AVERAGE(ED31:ED34)</f>
        <v>26</v>
      </c>
      <c r="EE35" s="13">
        <f>AVERAGE(EE31:EE34)</f>
        <v>0.75</v>
      </c>
      <c r="EF35" s="24">
        <f t="shared" si="12"/>
        <v>72.25</v>
      </c>
      <c r="EG35" s="13">
        <f>AVERAGE(EG31:EG34)</f>
        <v>0</v>
      </c>
      <c r="EH35" s="6" t="s">
        <v>1</v>
      </c>
      <c r="EI35" s="6" t="s">
        <v>1</v>
      </c>
      <c r="EJ35" s="6" t="s">
        <v>1</v>
      </c>
      <c r="EK35" s="6" t="s">
        <v>1</v>
      </c>
      <c r="EL35" s="6" t="s">
        <v>1</v>
      </c>
      <c r="EM35" s="6" t="s">
        <v>1</v>
      </c>
      <c r="EN35" s="6" t="s">
        <v>1</v>
      </c>
      <c r="EO35" s="6" t="s">
        <v>1</v>
      </c>
      <c r="EP35" s="6" t="s">
        <v>1</v>
      </c>
      <c r="EQ35" s="6" t="s">
        <v>1</v>
      </c>
    </row>
    <row r="36" spans="1:147" ht="12">
      <c r="A36" s="1" t="s">
        <v>42</v>
      </c>
      <c r="B36" s="24">
        <f>8-69</f>
        <v>-61</v>
      </c>
      <c r="C36" s="8">
        <v>23</v>
      </c>
      <c r="D36" s="23">
        <f>10-56</f>
        <v>-46</v>
      </c>
      <c r="E36" s="8">
        <v>34</v>
      </c>
      <c r="F36" s="23">
        <f>11-55</f>
        <v>-44</v>
      </c>
      <c r="G36" s="8">
        <v>34</v>
      </c>
      <c r="H36" s="23">
        <f>4-89</f>
        <v>-85</v>
      </c>
      <c r="I36" s="8">
        <v>7</v>
      </c>
      <c r="J36" s="23">
        <f>46-27</f>
        <v>19</v>
      </c>
      <c r="K36" s="8">
        <v>27</v>
      </c>
      <c r="L36" s="20">
        <v>0.2</v>
      </c>
      <c r="M36" s="23">
        <f>23-38</f>
        <v>-15</v>
      </c>
      <c r="N36" s="8">
        <v>38</v>
      </c>
      <c r="O36" s="20">
        <v>-2.7</v>
      </c>
      <c r="P36" s="23">
        <f>23-38</f>
        <v>-15</v>
      </c>
      <c r="Q36" s="8">
        <v>38</v>
      </c>
      <c r="R36" s="20">
        <v>-2.4</v>
      </c>
      <c r="S36" s="23">
        <f>82-9</f>
        <v>73</v>
      </c>
      <c r="T36" s="8">
        <v>9</v>
      </c>
      <c r="U36" s="20">
        <v>4.5</v>
      </c>
      <c r="V36" s="23">
        <f>12-2</f>
        <v>10</v>
      </c>
      <c r="W36" s="10">
        <v>86</v>
      </c>
      <c r="X36" s="23">
        <f>18-3</f>
        <v>15</v>
      </c>
      <c r="Y36" s="10">
        <v>78</v>
      </c>
      <c r="Z36" s="23">
        <f>17-2</f>
        <v>15</v>
      </c>
      <c r="AA36" s="10">
        <v>81</v>
      </c>
      <c r="AB36" s="23">
        <f>3-0</f>
        <v>3</v>
      </c>
      <c r="AC36" s="10">
        <v>96</v>
      </c>
      <c r="AD36" s="23">
        <f>45-19</f>
        <v>26</v>
      </c>
      <c r="AE36" s="10">
        <v>36</v>
      </c>
      <c r="AF36" s="23">
        <f>32-20</f>
        <v>12</v>
      </c>
      <c r="AG36" s="10">
        <v>47</v>
      </c>
      <c r="AH36" s="23">
        <f>31-19</f>
        <v>12</v>
      </c>
      <c r="AI36" s="10">
        <v>50</v>
      </c>
      <c r="AJ36" s="23">
        <f>66-18</f>
        <v>48</v>
      </c>
      <c r="AK36" s="10">
        <v>17</v>
      </c>
      <c r="AL36" s="23">
        <f>36-17</f>
        <v>19</v>
      </c>
      <c r="AM36" s="10">
        <v>47</v>
      </c>
      <c r="AN36" s="23">
        <f>24-21</f>
        <v>3</v>
      </c>
      <c r="AO36" s="10">
        <v>55</v>
      </c>
      <c r="AP36" s="23">
        <f>21-21</f>
        <v>0</v>
      </c>
      <c r="AQ36" s="10">
        <v>58</v>
      </c>
      <c r="AR36" s="23">
        <f>55-11</f>
        <v>44</v>
      </c>
      <c r="AS36" s="10">
        <v>34</v>
      </c>
      <c r="AT36" s="12">
        <v>27</v>
      </c>
      <c r="AU36" s="12">
        <v>71</v>
      </c>
      <c r="AV36" s="12">
        <v>1</v>
      </c>
      <c r="AW36" s="24">
        <f t="shared" si="6"/>
        <v>26</v>
      </c>
      <c r="AX36" s="12">
        <v>0</v>
      </c>
      <c r="AY36" s="12">
        <v>28</v>
      </c>
      <c r="AZ36" s="12">
        <v>72</v>
      </c>
      <c r="BA36" s="12">
        <v>1</v>
      </c>
      <c r="BB36" s="24">
        <f t="shared" si="7"/>
        <v>27</v>
      </c>
      <c r="BC36" s="12">
        <v>0</v>
      </c>
      <c r="BD36" s="12">
        <v>81</v>
      </c>
      <c r="BE36" s="12">
        <v>19</v>
      </c>
      <c r="BF36" s="12">
        <v>0</v>
      </c>
      <c r="BG36" s="24">
        <f t="shared" si="8"/>
        <v>81</v>
      </c>
      <c r="BH36" s="12">
        <v>0</v>
      </c>
      <c r="BI36" s="8">
        <v>49</v>
      </c>
      <c r="BJ36" s="8">
        <v>51</v>
      </c>
      <c r="BK36" s="8">
        <v>1</v>
      </c>
      <c r="BL36" s="24">
        <f t="shared" si="9"/>
        <v>48</v>
      </c>
      <c r="BM36" s="8">
        <v>0</v>
      </c>
      <c r="BN36" s="8"/>
      <c r="BO36" s="8"/>
      <c r="BP36" s="24">
        <f>11-57</f>
        <v>-46</v>
      </c>
      <c r="BQ36" s="8">
        <v>31</v>
      </c>
      <c r="BR36" s="24">
        <f>12-46</f>
        <v>-34</v>
      </c>
      <c r="BS36" s="8">
        <v>42</v>
      </c>
      <c r="BT36" s="24">
        <f>14-46</f>
        <v>-32</v>
      </c>
      <c r="BU36" s="8">
        <v>40</v>
      </c>
      <c r="BV36" s="24">
        <f>9-77</f>
        <v>-68</v>
      </c>
      <c r="BW36" s="8">
        <v>13</v>
      </c>
      <c r="BX36" s="22" t="s">
        <v>1</v>
      </c>
      <c r="BY36" s="22" t="s">
        <v>1</v>
      </c>
      <c r="BZ36" s="24">
        <f>34-31</f>
        <v>3</v>
      </c>
      <c r="CA36" s="8">
        <v>36</v>
      </c>
      <c r="CB36" s="20">
        <v>-0.665</v>
      </c>
      <c r="CC36" s="24">
        <f>16-40</f>
        <v>-24</v>
      </c>
      <c r="CD36" s="8">
        <v>44</v>
      </c>
      <c r="CE36" s="20">
        <v>-3.3</v>
      </c>
      <c r="CF36" s="24">
        <f>20-39</f>
        <v>-19</v>
      </c>
      <c r="CG36" s="8">
        <v>40</v>
      </c>
      <c r="CH36" s="20">
        <v>-2.4</v>
      </c>
      <c r="CI36" s="24">
        <f>64-13</f>
        <v>51</v>
      </c>
      <c r="CJ36" s="8">
        <v>23</v>
      </c>
      <c r="CK36" s="20">
        <v>3.695</v>
      </c>
      <c r="CL36" s="22" t="s">
        <v>1</v>
      </c>
      <c r="CM36" s="22" t="s">
        <v>1</v>
      </c>
      <c r="CN36" s="22" t="s">
        <v>1</v>
      </c>
      <c r="CO36" s="24">
        <f>12-2</f>
        <v>10</v>
      </c>
      <c r="CP36" s="10">
        <v>86</v>
      </c>
      <c r="CQ36" s="24">
        <f>17-4</f>
        <v>13</v>
      </c>
      <c r="CR36" s="10">
        <v>80</v>
      </c>
      <c r="CS36" s="24">
        <f>14-3</f>
        <v>11</v>
      </c>
      <c r="CT36" s="10">
        <v>83</v>
      </c>
      <c r="CU36" s="24">
        <f>5-1</f>
        <v>4</v>
      </c>
      <c r="CV36" s="10">
        <v>94</v>
      </c>
      <c r="CW36" s="22" t="s">
        <v>1</v>
      </c>
      <c r="CX36" s="22" t="s">
        <v>1</v>
      </c>
      <c r="CY36" s="24">
        <f>38-23</f>
        <v>15</v>
      </c>
      <c r="CZ36" s="10">
        <v>39</v>
      </c>
      <c r="DA36" s="24">
        <f>36-17</f>
        <v>19</v>
      </c>
      <c r="DB36" s="10">
        <v>47</v>
      </c>
      <c r="DC36" s="24">
        <f>37-18</f>
        <v>19</v>
      </c>
      <c r="DD36" s="12">
        <v>45</v>
      </c>
      <c r="DE36" s="24">
        <f>42-33</f>
        <v>9</v>
      </c>
      <c r="DF36" s="12">
        <v>25</v>
      </c>
      <c r="DG36" s="22" t="s">
        <v>1</v>
      </c>
      <c r="DH36" s="22" t="s">
        <v>1</v>
      </c>
      <c r="DI36" s="24">
        <f>36-18</f>
        <v>18</v>
      </c>
      <c r="DJ36" s="12">
        <v>46</v>
      </c>
      <c r="DK36" s="24">
        <f>29-20</f>
        <v>9</v>
      </c>
      <c r="DL36" s="12">
        <v>51</v>
      </c>
      <c r="DM36" s="24">
        <f>32-19</f>
        <v>13</v>
      </c>
      <c r="DN36" s="12">
        <v>49</v>
      </c>
      <c r="DO36" s="24">
        <f>48-13</f>
        <v>35</v>
      </c>
      <c r="DP36" s="12">
        <v>39</v>
      </c>
      <c r="DQ36" s="22" t="s">
        <v>1</v>
      </c>
      <c r="DR36" s="22" t="s">
        <v>1</v>
      </c>
      <c r="DS36" s="12">
        <v>28</v>
      </c>
      <c r="DT36" s="12">
        <v>70</v>
      </c>
      <c r="DU36" s="12">
        <v>2</v>
      </c>
      <c r="DV36" s="24">
        <f t="shared" si="10"/>
        <v>26</v>
      </c>
      <c r="DW36" s="12">
        <v>0</v>
      </c>
      <c r="DX36" s="12">
        <v>30</v>
      </c>
      <c r="DY36" s="12">
        <v>69</v>
      </c>
      <c r="DZ36" s="12">
        <v>1</v>
      </c>
      <c r="EA36" s="24">
        <f t="shared" si="11"/>
        <v>29</v>
      </c>
      <c r="EB36" s="12">
        <v>0</v>
      </c>
      <c r="EC36" s="12">
        <v>74</v>
      </c>
      <c r="ED36" s="12">
        <v>25</v>
      </c>
      <c r="EE36" s="12">
        <v>0</v>
      </c>
      <c r="EF36" s="24">
        <f t="shared" si="12"/>
        <v>74</v>
      </c>
      <c r="EG36" s="12">
        <v>0</v>
      </c>
      <c r="EH36" s="6" t="s">
        <v>1</v>
      </c>
      <c r="EI36" s="6" t="s">
        <v>1</v>
      </c>
      <c r="EJ36" s="6" t="s">
        <v>1</v>
      </c>
      <c r="EK36" s="6" t="s">
        <v>1</v>
      </c>
      <c r="EL36" s="6" t="s">
        <v>1</v>
      </c>
      <c r="EM36" s="6" t="s">
        <v>1</v>
      </c>
      <c r="EN36" s="6" t="s">
        <v>1</v>
      </c>
      <c r="EO36" s="6" t="s">
        <v>1</v>
      </c>
      <c r="EP36" s="6" t="s">
        <v>1</v>
      </c>
      <c r="EQ36" s="6" t="s">
        <v>1</v>
      </c>
    </row>
    <row r="37" spans="1:147" ht="12">
      <c r="A37" s="1" t="s">
        <v>36</v>
      </c>
      <c r="B37" s="24">
        <f>44-24</f>
        <v>20</v>
      </c>
      <c r="C37" s="8">
        <v>32</v>
      </c>
      <c r="D37" s="23">
        <f>31-25</f>
        <v>6</v>
      </c>
      <c r="E37" s="8">
        <v>43</v>
      </c>
      <c r="F37" s="23">
        <f>26-27</f>
        <v>-1</v>
      </c>
      <c r="G37" s="8">
        <v>47</v>
      </c>
      <c r="H37" s="23">
        <f>67-20</f>
        <v>47</v>
      </c>
      <c r="I37" s="8">
        <v>13</v>
      </c>
      <c r="J37" s="23">
        <f>45-27</f>
        <v>18</v>
      </c>
      <c r="K37" s="8">
        <v>28</v>
      </c>
      <c r="L37" s="20">
        <v>0</v>
      </c>
      <c r="M37" s="23">
        <f>22-39</f>
        <v>-17</v>
      </c>
      <c r="N37" s="8">
        <v>39</v>
      </c>
      <c r="O37" s="20">
        <v>-2.1</v>
      </c>
      <c r="P37" s="23">
        <f>19-40</f>
        <v>-21</v>
      </c>
      <c r="Q37" s="8">
        <v>40</v>
      </c>
      <c r="R37" s="20">
        <v>-2.2</v>
      </c>
      <c r="S37" s="23">
        <f>82-8</f>
        <v>74</v>
      </c>
      <c r="T37" s="8">
        <v>10</v>
      </c>
      <c r="U37" s="20">
        <v>3.3</v>
      </c>
      <c r="V37" s="23">
        <f>12-1</f>
        <v>11</v>
      </c>
      <c r="W37" s="10">
        <v>87</v>
      </c>
      <c r="X37" s="23">
        <f>20-1</f>
        <v>19</v>
      </c>
      <c r="Y37" s="10">
        <v>80</v>
      </c>
      <c r="Z37" s="23">
        <f>15-1</f>
        <v>14</v>
      </c>
      <c r="AA37" s="10">
        <v>85</v>
      </c>
      <c r="AB37" s="23">
        <f>3-0</f>
        <v>3</v>
      </c>
      <c r="AC37" s="10">
        <v>97</v>
      </c>
      <c r="AD37" s="23">
        <f>38-29</f>
        <v>9</v>
      </c>
      <c r="AE37" s="10">
        <v>32</v>
      </c>
      <c r="AF37" s="23">
        <f>22-36</f>
        <v>-14</v>
      </c>
      <c r="AG37" s="10">
        <v>42</v>
      </c>
      <c r="AH37" s="23">
        <f>18-35</f>
        <v>-17</v>
      </c>
      <c r="AI37" s="10">
        <v>47</v>
      </c>
      <c r="AJ37" s="23">
        <f>65-20</f>
        <v>45</v>
      </c>
      <c r="AK37" s="10">
        <v>15</v>
      </c>
      <c r="AL37" s="23">
        <f>30-28</f>
        <v>2</v>
      </c>
      <c r="AM37" s="10">
        <v>42</v>
      </c>
      <c r="AN37" s="23">
        <f>18-37</f>
        <v>-19</v>
      </c>
      <c r="AO37" s="10">
        <v>45</v>
      </c>
      <c r="AP37" s="23">
        <f>13-36</f>
        <v>-23</v>
      </c>
      <c r="AQ37" s="10">
        <v>51</v>
      </c>
      <c r="AR37" s="23">
        <f>50-15</f>
        <v>35</v>
      </c>
      <c r="AS37" s="10">
        <v>35</v>
      </c>
      <c r="AT37" s="12">
        <v>36</v>
      </c>
      <c r="AU37" s="12">
        <v>62</v>
      </c>
      <c r="AV37" s="12">
        <v>2</v>
      </c>
      <c r="AW37" s="24">
        <f t="shared" si="6"/>
        <v>34</v>
      </c>
      <c r="AX37" s="12">
        <v>0</v>
      </c>
      <c r="AY37" s="12">
        <v>32</v>
      </c>
      <c r="AZ37" s="12">
        <v>66</v>
      </c>
      <c r="BA37" s="12">
        <v>2</v>
      </c>
      <c r="BB37" s="24">
        <f t="shared" si="7"/>
        <v>30</v>
      </c>
      <c r="BC37" s="12">
        <v>0</v>
      </c>
      <c r="BD37" s="12">
        <v>83</v>
      </c>
      <c r="BE37" s="12">
        <v>16</v>
      </c>
      <c r="BF37" s="12">
        <v>0</v>
      </c>
      <c r="BG37" s="24">
        <f t="shared" si="8"/>
        <v>83</v>
      </c>
      <c r="BH37" s="12">
        <v>0</v>
      </c>
      <c r="BI37" s="8">
        <v>54</v>
      </c>
      <c r="BJ37" s="8">
        <v>45</v>
      </c>
      <c r="BK37" s="8">
        <v>1</v>
      </c>
      <c r="BL37" s="24">
        <f t="shared" si="9"/>
        <v>53</v>
      </c>
      <c r="BM37" s="8">
        <v>0</v>
      </c>
      <c r="BN37" s="8"/>
      <c r="BO37" s="8"/>
      <c r="BP37" s="24">
        <f>37-25</f>
        <v>12</v>
      </c>
      <c r="BQ37" s="8">
        <v>38</v>
      </c>
      <c r="BR37" s="24">
        <f>22-33</f>
        <v>-11</v>
      </c>
      <c r="BS37" s="8">
        <v>45</v>
      </c>
      <c r="BT37" s="24">
        <f>23-31</f>
        <v>-8</v>
      </c>
      <c r="BU37" s="8">
        <v>46</v>
      </c>
      <c r="BV37" s="24">
        <f>64-11</f>
        <v>53</v>
      </c>
      <c r="BW37" s="8">
        <v>25</v>
      </c>
      <c r="BX37" s="22" t="s">
        <v>1</v>
      </c>
      <c r="BY37" s="22" t="s">
        <v>1</v>
      </c>
      <c r="BZ37" s="24">
        <f>36-32</f>
        <v>4</v>
      </c>
      <c r="CA37" s="8">
        <v>32</v>
      </c>
      <c r="CB37" s="20">
        <v>-1.117</v>
      </c>
      <c r="CC37" s="24">
        <f>20-43</f>
        <v>-23</v>
      </c>
      <c r="CD37" s="8">
        <v>38</v>
      </c>
      <c r="CE37" s="20">
        <v>-3.1</v>
      </c>
      <c r="CF37" s="24">
        <f>22-40</f>
        <v>-18</v>
      </c>
      <c r="CG37" s="8">
        <v>38</v>
      </c>
      <c r="CH37" s="20">
        <v>-2.2</v>
      </c>
      <c r="CI37" s="24">
        <f>63-15</f>
        <v>48</v>
      </c>
      <c r="CJ37" s="8">
        <v>22</v>
      </c>
      <c r="CK37" s="20">
        <v>2.11</v>
      </c>
      <c r="CL37" s="22" t="s">
        <v>1</v>
      </c>
      <c r="CM37" s="22" t="s">
        <v>1</v>
      </c>
      <c r="CN37" s="22" t="s">
        <v>1</v>
      </c>
      <c r="CO37" s="24">
        <f>14-3</f>
        <v>11</v>
      </c>
      <c r="CP37" s="10">
        <v>83</v>
      </c>
      <c r="CQ37" s="24">
        <f>19-4</f>
        <v>15</v>
      </c>
      <c r="CR37" s="10">
        <v>77</v>
      </c>
      <c r="CS37" s="24">
        <f>17-4</f>
        <v>13</v>
      </c>
      <c r="CT37" s="10">
        <v>80</v>
      </c>
      <c r="CU37" s="24">
        <f>5-1</f>
        <v>4</v>
      </c>
      <c r="CV37" s="10">
        <v>94</v>
      </c>
      <c r="CW37" s="22" t="s">
        <v>1</v>
      </c>
      <c r="CX37" s="22" t="s">
        <v>1</v>
      </c>
      <c r="CY37" s="24">
        <f>31-32</f>
        <v>-1</v>
      </c>
      <c r="CZ37" s="10">
        <v>37</v>
      </c>
      <c r="DA37" s="24">
        <f>24-32</f>
        <v>-8</v>
      </c>
      <c r="DB37" s="10">
        <v>44</v>
      </c>
      <c r="DC37" s="24">
        <f>24-30</f>
        <v>-6</v>
      </c>
      <c r="DD37" s="12">
        <v>46</v>
      </c>
      <c r="DE37" s="24">
        <f>42-33</f>
        <v>9</v>
      </c>
      <c r="DF37" s="12">
        <v>25</v>
      </c>
      <c r="DG37" s="22" t="s">
        <v>1</v>
      </c>
      <c r="DH37" s="22" t="s">
        <v>1</v>
      </c>
      <c r="DI37" s="24">
        <f>29-27</f>
        <v>2</v>
      </c>
      <c r="DJ37" s="12">
        <v>44</v>
      </c>
      <c r="DK37" s="24">
        <f>19-34</f>
        <v>-15</v>
      </c>
      <c r="DL37" s="12">
        <v>47</v>
      </c>
      <c r="DM37" s="24">
        <f>19-33</f>
        <v>-14</v>
      </c>
      <c r="DN37" s="12">
        <v>48</v>
      </c>
      <c r="DO37" s="24">
        <f>46-15</f>
        <v>31</v>
      </c>
      <c r="DP37" s="12">
        <v>39</v>
      </c>
      <c r="DQ37" s="22" t="s">
        <v>1</v>
      </c>
      <c r="DR37" s="22" t="s">
        <v>1</v>
      </c>
      <c r="DS37" s="12">
        <v>24</v>
      </c>
      <c r="DT37" s="12">
        <v>73</v>
      </c>
      <c r="DU37" s="12">
        <v>2</v>
      </c>
      <c r="DV37" s="24">
        <f t="shared" si="10"/>
        <v>22</v>
      </c>
      <c r="DW37" s="12">
        <v>1</v>
      </c>
      <c r="DX37" s="12">
        <v>29</v>
      </c>
      <c r="DY37" s="12">
        <v>69</v>
      </c>
      <c r="DZ37" s="12">
        <v>2</v>
      </c>
      <c r="EA37" s="24">
        <f t="shared" si="11"/>
        <v>27</v>
      </c>
      <c r="EB37" s="12">
        <v>0</v>
      </c>
      <c r="EC37" s="12">
        <v>77</v>
      </c>
      <c r="ED37" s="12">
        <v>23</v>
      </c>
      <c r="EE37" s="12">
        <v>0</v>
      </c>
      <c r="EF37" s="24">
        <f t="shared" si="12"/>
        <v>77</v>
      </c>
      <c r="EG37" s="12">
        <v>0</v>
      </c>
      <c r="EH37" s="8">
        <v>43.7857550451201</v>
      </c>
      <c r="EI37" s="8">
        <v>54.169437219944115</v>
      </c>
      <c r="EJ37" s="8">
        <v>1.7203331551711603</v>
      </c>
      <c r="EK37" s="24">
        <f aca="true" t="shared" si="15" ref="EK37:EK59">EH37-EJ37</f>
        <v>42.06542188994894</v>
      </c>
      <c r="EL37" s="23">
        <v>0.3244745797646285</v>
      </c>
      <c r="EM37" s="6" t="s">
        <v>1</v>
      </c>
      <c r="EN37" s="6" t="s">
        <v>1</v>
      </c>
      <c r="EO37" s="6" t="s">
        <v>1</v>
      </c>
      <c r="EP37" s="6" t="s">
        <v>1</v>
      </c>
      <c r="EQ37" s="6" t="s">
        <v>1</v>
      </c>
    </row>
    <row r="38" spans="1:147" ht="12">
      <c r="A38" s="1" t="s">
        <v>32</v>
      </c>
      <c r="B38" s="24">
        <f>16-57</f>
        <v>-41</v>
      </c>
      <c r="C38" s="8">
        <v>27</v>
      </c>
      <c r="D38" s="23">
        <f>16-47</f>
        <v>-31</v>
      </c>
      <c r="E38" s="8">
        <v>37</v>
      </c>
      <c r="F38" s="23">
        <f>15-49</f>
        <v>-34</v>
      </c>
      <c r="G38" s="8">
        <v>36</v>
      </c>
      <c r="H38" s="23">
        <f>17-69</f>
        <v>-52</v>
      </c>
      <c r="I38" s="8">
        <v>14</v>
      </c>
      <c r="J38" s="23">
        <f>39-37</f>
        <v>2</v>
      </c>
      <c r="K38" s="8">
        <v>24</v>
      </c>
      <c r="L38" s="20">
        <v>-0.6</v>
      </c>
      <c r="M38" s="23">
        <f>20-42</f>
        <v>-22</v>
      </c>
      <c r="N38" s="8">
        <v>38</v>
      </c>
      <c r="O38" s="20">
        <v>-2.2</v>
      </c>
      <c r="P38" s="23">
        <f>18-44</f>
        <v>-26</v>
      </c>
      <c r="Q38" s="8">
        <v>37</v>
      </c>
      <c r="R38" s="20">
        <v>-2.2</v>
      </c>
      <c r="S38" s="23">
        <f>63-29</f>
        <v>34</v>
      </c>
      <c r="T38" s="8">
        <v>8</v>
      </c>
      <c r="U38" s="20">
        <v>1.3</v>
      </c>
      <c r="V38" s="23">
        <f>11-1</f>
        <v>10</v>
      </c>
      <c r="W38" s="10">
        <v>87</v>
      </c>
      <c r="X38" s="23">
        <f>18-2</f>
        <v>16</v>
      </c>
      <c r="Y38" s="10">
        <v>80</v>
      </c>
      <c r="Z38" s="23">
        <f>17-1</f>
        <v>16</v>
      </c>
      <c r="AA38" s="10">
        <v>82</v>
      </c>
      <c r="AB38" s="23">
        <f>4-0</f>
        <v>4</v>
      </c>
      <c r="AC38" s="10">
        <v>96</v>
      </c>
      <c r="AD38" s="23">
        <f>62-11</f>
        <v>51</v>
      </c>
      <c r="AE38" s="10">
        <v>27</v>
      </c>
      <c r="AF38" s="23">
        <f>55-11</f>
        <v>44</v>
      </c>
      <c r="AG38" s="10">
        <v>34</v>
      </c>
      <c r="AH38" s="23">
        <f>55-10</f>
        <v>45</v>
      </c>
      <c r="AI38" s="10">
        <v>35</v>
      </c>
      <c r="AJ38" s="23">
        <f>70-12</f>
        <v>58</v>
      </c>
      <c r="AK38" s="10">
        <v>18</v>
      </c>
      <c r="AL38" s="23">
        <f>53-10</f>
        <v>43</v>
      </c>
      <c r="AM38" s="10">
        <v>37</v>
      </c>
      <c r="AN38" s="23">
        <f>48-11</f>
        <v>37</v>
      </c>
      <c r="AO38" s="10">
        <v>41</v>
      </c>
      <c r="AP38" s="23">
        <f>49-11</f>
        <v>38</v>
      </c>
      <c r="AQ38" s="10">
        <v>39</v>
      </c>
      <c r="AR38" s="23">
        <f>59-8</f>
        <v>51</v>
      </c>
      <c r="AS38" s="10">
        <v>33</v>
      </c>
      <c r="AT38" s="12">
        <v>31</v>
      </c>
      <c r="AU38" s="12">
        <v>68</v>
      </c>
      <c r="AV38" s="12">
        <v>1</v>
      </c>
      <c r="AW38" s="24">
        <f t="shared" si="6"/>
        <v>30</v>
      </c>
      <c r="AX38" s="12">
        <v>0</v>
      </c>
      <c r="AY38" s="12">
        <v>29</v>
      </c>
      <c r="AZ38" s="12">
        <v>70</v>
      </c>
      <c r="BA38" s="12">
        <v>0</v>
      </c>
      <c r="BB38" s="24">
        <f t="shared" si="7"/>
        <v>29</v>
      </c>
      <c r="BC38" s="12">
        <v>0</v>
      </c>
      <c r="BD38" s="12">
        <v>82</v>
      </c>
      <c r="BE38" s="12">
        <v>18</v>
      </c>
      <c r="BF38" s="12">
        <v>0</v>
      </c>
      <c r="BG38" s="24">
        <f t="shared" si="8"/>
        <v>82</v>
      </c>
      <c r="BH38" s="12">
        <v>0</v>
      </c>
      <c r="BI38" s="8">
        <v>54</v>
      </c>
      <c r="BJ38" s="8">
        <v>46</v>
      </c>
      <c r="BK38" s="8">
        <v>0</v>
      </c>
      <c r="BL38" s="24">
        <f t="shared" si="9"/>
        <v>54</v>
      </c>
      <c r="BM38" s="8">
        <v>0</v>
      </c>
      <c r="BN38" s="8"/>
      <c r="BO38" s="8"/>
      <c r="BP38" s="24">
        <f>18-48</f>
        <v>-30</v>
      </c>
      <c r="BQ38" s="8">
        <v>34</v>
      </c>
      <c r="BR38" s="24">
        <f>20-38</f>
        <v>-18</v>
      </c>
      <c r="BS38" s="8">
        <v>42</v>
      </c>
      <c r="BT38" s="24">
        <f>21-39</f>
        <v>-18</v>
      </c>
      <c r="BU38" s="8">
        <v>40</v>
      </c>
      <c r="BV38" s="24">
        <f>15-63</f>
        <v>-48</v>
      </c>
      <c r="BW38" s="8">
        <v>21</v>
      </c>
      <c r="BX38" s="22" t="s">
        <v>1</v>
      </c>
      <c r="BY38" s="22" t="s">
        <v>1</v>
      </c>
      <c r="BZ38" s="24">
        <f>27-40</f>
        <v>-13</v>
      </c>
      <c r="CA38" s="8">
        <v>32</v>
      </c>
      <c r="CB38" s="20">
        <v>-1.268</v>
      </c>
      <c r="CC38" s="24">
        <f>18-41</f>
        <v>-23</v>
      </c>
      <c r="CD38" s="8">
        <v>41</v>
      </c>
      <c r="CE38" s="20">
        <v>-2.8</v>
      </c>
      <c r="CF38" s="24">
        <f>23-38</f>
        <v>-15</v>
      </c>
      <c r="CG38" s="8">
        <v>39</v>
      </c>
      <c r="CH38" s="20">
        <v>-1.9</v>
      </c>
      <c r="CI38" s="24">
        <f>41-40</f>
        <v>1</v>
      </c>
      <c r="CJ38" s="8">
        <v>19</v>
      </c>
      <c r="CK38" s="20">
        <v>0.844</v>
      </c>
      <c r="CL38" s="22" t="s">
        <v>1</v>
      </c>
      <c r="CM38" s="22" t="s">
        <v>1</v>
      </c>
      <c r="CN38" s="22" t="s">
        <v>1</v>
      </c>
      <c r="CO38" s="24">
        <f>12-3</f>
        <v>9</v>
      </c>
      <c r="CP38" s="10">
        <v>85</v>
      </c>
      <c r="CQ38" s="24">
        <f>16-4</f>
        <v>12</v>
      </c>
      <c r="CR38" s="10">
        <v>80</v>
      </c>
      <c r="CS38" s="24">
        <f>13-4</f>
        <v>9</v>
      </c>
      <c r="CT38" s="10">
        <v>84</v>
      </c>
      <c r="CU38" s="24">
        <f>7-1</f>
        <v>6</v>
      </c>
      <c r="CV38" s="10">
        <v>92</v>
      </c>
      <c r="CW38" s="22" t="s">
        <v>1</v>
      </c>
      <c r="CX38" s="22" t="s">
        <v>1</v>
      </c>
      <c r="CY38" s="24">
        <f>50-19</f>
        <v>31</v>
      </c>
      <c r="CZ38" s="10">
        <v>31</v>
      </c>
      <c r="DA38" s="24">
        <f>48-14</f>
        <v>34</v>
      </c>
      <c r="DB38" s="10">
        <v>39</v>
      </c>
      <c r="DC38" s="24">
        <f>52-14</f>
        <v>38</v>
      </c>
      <c r="DD38" s="12">
        <v>34</v>
      </c>
      <c r="DE38" s="24">
        <f>52-26</f>
        <v>26</v>
      </c>
      <c r="DF38" s="12">
        <v>21</v>
      </c>
      <c r="DG38" s="22" t="s">
        <v>1</v>
      </c>
      <c r="DH38" s="22" t="s">
        <v>1</v>
      </c>
      <c r="DI38" s="24">
        <f>44-13</f>
        <v>31</v>
      </c>
      <c r="DJ38" s="12">
        <v>43</v>
      </c>
      <c r="DK38" s="24">
        <f>36-14</f>
        <v>22</v>
      </c>
      <c r="DL38" s="12">
        <v>49</v>
      </c>
      <c r="DM38" s="24">
        <f>43-14</f>
        <v>29</v>
      </c>
      <c r="DN38" s="12">
        <v>43</v>
      </c>
      <c r="DO38" s="24">
        <f>54-11</f>
        <v>43</v>
      </c>
      <c r="DP38" s="12">
        <v>36</v>
      </c>
      <c r="DQ38" s="22" t="s">
        <v>1</v>
      </c>
      <c r="DR38" s="22" t="s">
        <v>1</v>
      </c>
      <c r="DS38" s="12">
        <v>29</v>
      </c>
      <c r="DT38" s="12">
        <v>68</v>
      </c>
      <c r="DU38" s="12">
        <v>2</v>
      </c>
      <c r="DV38" s="24">
        <f t="shared" si="10"/>
        <v>27</v>
      </c>
      <c r="DW38" s="12">
        <v>1</v>
      </c>
      <c r="DX38" s="12">
        <v>34</v>
      </c>
      <c r="DY38" s="12">
        <v>64</v>
      </c>
      <c r="DZ38" s="12">
        <v>2</v>
      </c>
      <c r="EA38" s="24">
        <f t="shared" si="11"/>
        <v>32</v>
      </c>
      <c r="EB38" s="12">
        <v>0</v>
      </c>
      <c r="EC38" s="12">
        <v>68</v>
      </c>
      <c r="ED38" s="12">
        <v>31</v>
      </c>
      <c r="EE38" s="12">
        <v>1</v>
      </c>
      <c r="EF38" s="24">
        <f t="shared" si="12"/>
        <v>67</v>
      </c>
      <c r="EG38" s="12">
        <v>0</v>
      </c>
      <c r="EH38" s="8">
        <v>44.96788432634143</v>
      </c>
      <c r="EI38" s="8">
        <v>52.929741584702406</v>
      </c>
      <c r="EJ38" s="8">
        <v>1.6796578418605244</v>
      </c>
      <c r="EK38" s="24">
        <f t="shared" si="15"/>
        <v>43.2882264844809</v>
      </c>
      <c r="EL38" s="23">
        <v>0.42271624709564576</v>
      </c>
      <c r="EM38" s="6" t="s">
        <v>1</v>
      </c>
      <c r="EN38" s="6" t="s">
        <v>1</v>
      </c>
      <c r="EO38" s="6" t="s">
        <v>1</v>
      </c>
      <c r="EP38" s="6" t="s">
        <v>1</v>
      </c>
      <c r="EQ38" s="6" t="s">
        <v>1</v>
      </c>
    </row>
    <row r="39" spans="1:147" ht="12">
      <c r="A39" s="1" t="s">
        <v>33</v>
      </c>
      <c r="B39" s="24">
        <f>55-21</f>
        <v>34</v>
      </c>
      <c r="C39" s="8">
        <v>24</v>
      </c>
      <c r="D39" s="23">
        <f>40-24</f>
        <v>16</v>
      </c>
      <c r="E39" s="8">
        <v>37</v>
      </c>
      <c r="F39" s="23">
        <f>40-23</f>
        <v>17</v>
      </c>
      <c r="G39" s="8">
        <v>38</v>
      </c>
      <c r="H39" s="23">
        <f>72-18</f>
        <v>54</v>
      </c>
      <c r="I39" s="8">
        <v>10</v>
      </c>
      <c r="J39" s="23">
        <f>50-25</f>
        <v>25</v>
      </c>
      <c r="K39" s="8">
        <v>25</v>
      </c>
      <c r="L39" s="20">
        <v>0.3</v>
      </c>
      <c r="M39" s="23">
        <f>25-36</f>
        <v>-11</v>
      </c>
      <c r="N39" s="8">
        <v>39</v>
      </c>
      <c r="O39" s="20">
        <v>-1.5</v>
      </c>
      <c r="P39" s="23">
        <f>28-37</f>
        <v>-9</v>
      </c>
      <c r="Q39" s="8">
        <v>35</v>
      </c>
      <c r="R39" s="20">
        <v>-1.2</v>
      </c>
      <c r="S39" s="23">
        <f>77-12</f>
        <v>65</v>
      </c>
      <c r="T39" s="8">
        <v>10</v>
      </c>
      <c r="U39" s="20">
        <v>2.2</v>
      </c>
      <c r="V39" s="23">
        <f>8-4</f>
        <v>4</v>
      </c>
      <c r="W39" s="10">
        <v>88</v>
      </c>
      <c r="X39" s="23">
        <f>14-7</f>
        <v>7</v>
      </c>
      <c r="Y39" s="10">
        <v>79</v>
      </c>
      <c r="Z39" s="23">
        <f>11-7</f>
        <v>4</v>
      </c>
      <c r="AA39" s="10">
        <v>81</v>
      </c>
      <c r="AB39" s="23">
        <f>2-1</f>
        <v>1</v>
      </c>
      <c r="AC39" s="10">
        <v>97</v>
      </c>
      <c r="AD39" s="23">
        <f>34-31</f>
        <v>3</v>
      </c>
      <c r="AE39" s="10">
        <v>35</v>
      </c>
      <c r="AF39" s="23">
        <f>12-39</f>
        <v>-27</v>
      </c>
      <c r="AG39" s="10">
        <v>48</v>
      </c>
      <c r="AH39" s="23">
        <f>16-35</f>
        <v>-19</v>
      </c>
      <c r="AI39" s="10">
        <v>49</v>
      </c>
      <c r="AJ39" s="23">
        <f>57-24</f>
        <v>33</v>
      </c>
      <c r="AK39" s="10">
        <v>19</v>
      </c>
      <c r="AL39" s="23">
        <f>32-26</f>
        <v>6</v>
      </c>
      <c r="AM39" s="10">
        <v>43</v>
      </c>
      <c r="AN39" s="23">
        <f>14-36</f>
        <v>-22</v>
      </c>
      <c r="AO39" s="10">
        <v>50</v>
      </c>
      <c r="AP39" s="23">
        <f>17-32</f>
        <v>-15</v>
      </c>
      <c r="AQ39" s="10">
        <v>52</v>
      </c>
      <c r="AR39" s="23">
        <f>50-15</f>
        <v>35</v>
      </c>
      <c r="AS39" s="10">
        <v>34</v>
      </c>
      <c r="AT39" s="12">
        <v>37</v>
      </c>
      <c r="AU39" s="12">
        <v>62</v>
      </c>
      <c r="AV39" s="12">
        <v>1</v>
      </c>
      <c r="AW39" s="24">
        <f t="shared" si="6"/>
        <v>36</v>
      </c>
      <c r="AX39" s="12">
        <v>1</v>
      </c>
      <c r="AY39" s="12">
        <v>37</v>
      </c>
      <c r="AZ39" s="12">
        <v>61</v>
      </c>
      <c r="BA39" s="12">
        <v>1</v>
      </c>
      <c r="BB39" s="24">
        <f t="shared" si="7"/>
        <v>36</v>
      </c>
      <c r="BC39" s="12">
        <v>0</v>
      </c>
      <c r="BD39" s="12">
        <v>85</v>
      </c>
      <c r="BE39" s="12">
        <v>14</v>
      </c>
      <c r="BF39" s="12">
        <v>1</v>
      </c>
      <c r="BG39" s="24">
        <f t="shared" si="8"/>
        <v>84</v>
      </c>
      <c r="BH39" s="12">
        <v>0</v>
      </c>
      <c r="BI39" s="8">
        <v>60</v>
      </c>
      <c r="BJ39" s="8">
        <v>39</v>
      </c>
      <c r="BK39" s="8">
        <v>1</v>
      </c>
      <c r="BL39" s="24">
        <f t="shared" si="9"/>
        <v>59</v>
      </c>
      <c r="BM39" s="8">
        <v>0</v>
      </c>
      <c r="BN39" s="8"/>
      <c r="BO39" s="8"/>
      <c r="BP39" s="24">
        <f>44-25</f>
        <v>19</v>
      </c>
      <c r="BQ39" s="8">
        <v>31</v>
      </c>
      <c r="BR39" s="24">
        <f>30-26</f>
        <v>4</v>
      </c>
      <c r="BS39" s="8">
        <v>44</v>
      </c>
      <c r="BT39" s="24">
        <f>37-25</f>
        <v>12</v>
      </c>
      <c r="BU39" s="8">
        <v>39</v>
      </c>
      <c r="BV39" s="24">
        <f>63-24</f>
        <v>39</v>
      </c>
      <c r="BW39" s="8">
        <v>14</v>
      </c>
      <c r="BX39" s="22" t="s">
        <v>1</v>
      </c>
      <c r="BY39" s="22" t="s">
        <v>1</v>
      </c>
      <c r="BZ39" s="24">
        <f>36-35</f>
        <v>1</v>
      </c>
      <c r="CA39" s="8">
        <v>30</v>
      </c>
      <c r="CB39" s="20">
        <v>-0.614</v>
      </c>
      <c r="CC39" s="24">
        <f>22-38</f>
        <v>-16</v>
      </c>
      <c r="CD39" s="8">
        <v>40</v>
      </c>
      <c r="CE39" s="20">
        <v>-2.3</v>
      </c>
      <c r="CF39" s="24">
        <f>25-39</f>
        <v>-14</v>
      </c>
      <c r="CG39" s="8">
        <v>36</v>
      </c>
      <c r="CH39" s="20">
        <v>-1.8</v>
      </c>
      <c r="CI39" s="24">
        <f>56-28</f>
        <v>28</v>
      </c>
      <c r="CJ39" s="8">
        <v>16</v>
      </c>
      <c r="CK39" s="20">
        <v>1.715</v>
      </c>
      <c r="CL39" s="22" t="s">
        <v>1</v>
      </c>
      <c r="CM39" s="22" t="s">
        <v>1</v>
      </c>
      <c r="CN39" s="22" t="s">
        <v>1</v>
      </c>
      <c r="CO39" s="24">
        <f>11-4</f>
        <v>7</v>
      </c>
      <c r="CP39" s="10">
        <v>86</v>
      </c>
      <c r="CQ39" s="24">
        <f>15-5</f>
        <v>10</v>
      </c>
      <c r="CR39" s="10">
        <v>79</v>
      </c>
      <c r="CS39" s="24">
        <f>15-3</f>
        <v>12</v>
      </c>
      <c r="CT39" s="10">
        <v>82</v>
      </c>
      <c r="CU39" s="24">
        <f>4-2</f>
        <v>2</v>
      </c>
      <c r="CV39" s="10">
        <v>94</v>
      </c>
      <c r="CW39" s="22" t="s">
        <v>1</v>
      </c>
      <c r="CX39" s="22" t="s">
        <v>1</v>
      </c>
      <c r="CY39" s="24">
        <f>21-37</f>
        <v>-16</v>
      </c>
      <c r="CZ39" s="10">
        <v>42</v>
      </c>
      <c r="DA39" s="24">
        <f>15-32</f>
        <v>-17</v>
      </c>
      <c r="DB39" s="10">
        <v>53</v>
      </c>
      <c r="DC39" s="24">
        <f>16-33</f>
        <v>-17</v>
      </c>
      <c r="DD39" s="12">
        <v>51</v>
      </c>
      <c r="DE39" s="24">
        <f>29-43</f>
        <v>-14</v>
      </c>
      <c r="DF39" s="12">
        <v>28</v>
      </c>
      <c r="DG39" s="22" t="s">
        <v>1</v>
      </c>
      <c r="DH39" s="22" t="s">
        <v>1</v>
      </c>
      <c r="DI39" s="24">
        <f>21-29</f>
        <v>-8</v>
      </c>
      <c r="DJ39" s="12">
        <v>50</v>
      </c>
      <c r="DK39" s="24">
        <f>13-31</f>
        <v>-18</v>
      </c>
      <c r="DL39" s="12">
        <v>56</v>
      </c>
      <c r="DM39" s="24">
        <f>12-32</f>
        <v>-20</v>
      </c>
      <c r="DN39" s="12">
        <v>56</v>
      </c>
      <c r="DO39" s="24">
        <f>33-26</f>
        <v>7</v>
      </c>
      <c r="DP39" s="12">
        <v>42</v>
      </c>
      <c r="DQ39" s="22" t="s">
        <v>1</v>
      </c>
      <c r="DR39" s="22" t="s">
        <v>1</v>
      </c>
      <c r="DS39" s="12">
        <v>29</v>
      </c>
      <c r="DT39" s="12">
        <v>69</v>
      </c>
      <c r="DU39" s="12">
        <v>2</v>
      </c>
      <c r="DV39" s="24">
        <f t="shared" si="10"/>
        <v>27</v>
      </c>
      <c r="DW39" s="12">
        <v>0</v>
      </c>
      <c r="DX39" s="12">
        <v>30</v>
      </c>
      <c r="DY39" s="12">
        <v>68</v>
      </c>
      <c r="DZ39" s="12">
        <v>1</v>
      </c>
      <c r="EA39" s="24">
        <f t="shared" si="11"/>
        <v>29</v>
      </c>
      <c r="EB39" s="12">
        <v>0</v>
      </c>
      <c r="EC39" s="12">
        <v>69</v>
      </c>
      <c r="ED39" s="12">
        <v>30</v>
      </c>
      <c r="EE39" s="12">
        <v>1</v>
      </c>
      <c r="EF39" s="24">
        <f t="shared" si="12"/>
        <v>68</v>
      </c>
      <c r="EG39" s="12">
        <v>0</v>
      </c>
      <c r="EH39" s="8">
        <v>45.28827094677434</v>
      </c>
      <c r="EI39" s="8">
        <v>53.170019157301915</v>
      </c>
      <c r="EJ39" s="8">
        <v>1.2215330410294944</v>
      </c>
      <c r="EK39" s="24">
        <f t="shared" si="15"/>
        <v>44.066737905744844</v>
      </c>
      <c r="EL39" s="23">
        <v>0.3201768548942432</v>
      </c>
      <c r="EM39" s="6" t="s">
        <v>1</v>
      </c>
      <c r="EN39" s="6" t="s">
        <v>1</v>
      </c>
      <c r="EO39" s="6" t="s">
        <v>1</v>
      </c>
      <c r="EP39" s="6" t="s">
        <v>1</v>
      </c>
      <c r="EQ39" s="6" t="s">
        <v>1</v>
      </c>
    </row>
    <row r="40" spans="1:147" ht="12">
      <c r="A40" s="1" t="s">
        <v>43</v>
      </c>
      <c r="B40" s="24">
        <f aca="true" t="shared" si="16" ref="B40:AV40">AVERAGE(B36:B39)</f>
        <v>-12</v>
      </c>
      <c r="C40" s="13">
        <f t="shared" si="16"/>
        <v>26.5</v>
      </c>
      <c r="D40" s="24">
        <f t="shared" si="16"/>
        <v>-13.75</v>
      </c>
      <c r="E40" s="13">
        <f t="shared" si="16"/>
        <v>37.75</v>
      </c>
      <c r="F40" s="24">
        <f t="shared" si="16"/>
        <v>-15.5</v>
      </c>
      <c r="G40" s="13">
        <f t="shared" si="16"/>
        <v>38.75</v>
      </c>
      <c r="H40" s="24">
        <f t="shared" si="16"/>
        <v>-9</v>
      </c>
      <c r="I40" s="13">
        <f t="shared" si="16"/>
        <v>11</v>
      </c>
      <c r="J40" s="24">
        <f t="shared" si="16"/>
        <v>16</v>
      </c>
      <c r="K40" s="13">
        <f t="shared" si="16"/>
        <v>26</v>
      </c>
      <c r="L40" s="21">
        <f t="shared" si="16"/>
        <v>-0.024999999999999994</v>
      </c>
      <c r="M40" s="24">
        <f t="shared" si="16"/>
        <v>-16.25</v>
      </c>
      <c r="N40" s="13">
        <f t="shared" si="16"/>
        <v>38.5</v>
      </c>
      <c r="O40" s="21">
        <f t="shared" si="16"/>
        <v>-2.125</v>
      </c>
      <c r="P40" s="24">
        <f t="shared" si="16"/>
        <v>-17.75</v>
      </c>
      <c r="Q40" s="13">
        <f t="shared" si="16"/>
        <v>37.5</v>
      </c>
      <c r="R40" s="21">
        <f t="shared" si="16"/>
        <v>-2</v>
      </c>
      <c r="S40" s="24">
        <f t="shared" si="16"/>
        <v>61.5</v>
      </c>
      <c r="T40" s="13">
        <f t="shared" si="16"/>
        <v>9.25</v>
      </c>
      <c r="U40" s="21">
        <f t="shared" si="16"/>
        <v>2.825</v>
      </c>
      <c r="V40" s="24">
        <f t="shared" si="16"/>
        <v>8.75</v>
      </c>
      <c r="W40" s="13">
        <f t="shared" si="16"/>
        <v>87</v>
      </c>
      <c r="X40" s="24">
        <f t="shared" si="16"/>
        <v>14.25</v>
      </c>
      <c r="Y40" s="13">
        <f t="shared" si="16"/>
        <v>79.25</v>
      </c>
      <c r="Z40" s="24">
        <f t="shared" si="16"/>
        <v>12.25</v>
      </c>
      <c r="AA40" s="13">
        <f t="shared" si="16"/>
        <v>82.25</v>
      </c>
      <c r="AB40" s="24">
        <f t="shared" si="16"/>
        <v>2.75</v>
      </c>
      <c r="AC40" s="13">
        <f t="shared" si="16"/>
        <v>96.5</v>
      </c>
      <c r="AD40" s="24">
        <f t="shared" si="16"/>
        <v>22.25</v>
      </c>
      <c r="AE40" s="13">
        <f t="shared" si="16"/>
        <v>32.5</v>
      </c>
      <c r="AF40" s="24">
        <f t="shared" si="16"/>
        <v>3.75</v>
      </c>
      <c r="AG40" s="13">
        <f t="shared" si="16"/>
        <v>42.75</v>
      </c>
      <c r="AH40" s="24">
        <f t="shared" si="16"/>
        <v>5.25</v>
      </c>
      <c r="AI40" s="13">
        <f t="shared" si="16"/>
        <v>45.25</v>
      </c>
      <c r="AJ40" s="24">
        <f t="shared" si="16"/>
        <v>46</v>
      </c>
      <c r="AK40" s="13">
        <f t="shared" si="16"/>
        <v>17.25</v>
      </c>
      <c r="AL40" s="24">
        <f t="shared" si="16"/>
        <v>17.5</v>
      </c>
      <c r="AM40" s="13">
        <f t="shared" si="16"/>
        <v>42.25</v>
      </c>
      <c r="AN40" s="24">
        <f t="shared" si="16"/>
        <v>-0.25</v>
      </c>
      <c r="AO40" s="13">
        <f t="shared" si="16"/>
        <v>47.75</v>
      </c>
      <c r="AP40" s="24">
        <f t="shared" si="16"/>
        <v>0</v>
      </c>
      <c r="AQ40" s="13">
        <f t="shared" si="16"/>
        <v>50</v>
      </c>
      <c r="AR40" s="24">
        <f t="shared" si="16"/>
        <v>41.25</v>
      </c>
      <c r="AS40" s="13">
        <f t="shared" si="16"/>
        <v>34</v>
      </c>
      <c r="AT40" s="13">
        <f t="shared" si="16"/>
        <v>32.75</v>
      </c>
      <c r="AU40" s="13">
        <f t="shared" si="16"/>
        <v>65.75</v>
      </c>
      <c r="AV40" s="13">
        <f t="shared" si="16"/>
        <v>1.25</v>
      </c>
      <c r="AW40" s="24">
        <f t="shared" si="6"/>
        <v>31.5</v>
      </c>
      <c r="AX40" s="15">
        <f>AVERAGE(AX36:AX39)</f>
        <v>0.25</v>
      </c>
      <c r="AY40" s="15">
        <f>AVERAGE(AY36:AY39)</f>
        <v>31.5</v>
      </c>
      <c r="AZ40" s="15">
        <f>AVERAGE(AZ36:AZ39)</f>
        <v>67.25</v>
      </c>
      <c r="BA40" s="15">
        <f>AVERAGE(BA36:BA39)</f>
        <v>1</v>
      </c>
      <c r="BB40" s="24">
        <f t="shared" si="7"/>
        <v>30.5</v>
      </c>
      <c r="BC40" s="11">
        <f>AVERAGE(BC36:BC39)</f>
        <v>0</v>
      </c>
      <c r="BD40" s="15">
        <f>AVERAGE(BD36:BD39)</f>
        <v>82.75</v>
      </c>
      <c r="BE40" s="15">
        <f>AVERAGE(BE36:BE39)</f>
        <v>16.75</v>
      </c>
      <c r="BF40" s="15">
        <f>AVERAGE(BF36:BF39)</f>
        <v>0.25</v>
      </c>
      <c r="BG40" s="24">
        <f t="shared" si="8"/>
        <v>82.5</v>
      </c>
      <c r="BH40" s="11">
        <f aca="true" t="shared" si="17" ref="BH40:DU40">AVERAGE(BH36:BH39)</f>
        <v>0</v>
      </c>
      <c r="BI40" s="13">
        <f>AVERAGE(BI36:BI39)</f>
        <v>54.25</v>
      </c>
      <c r="BJ40" s="13">
        <f>AVERAGE(BJ36:BJ39)</f>
        <v>45.25</v>
      </c>
      <c r="BK40" s="13">
        <f>AVERAGE(BK36:BK39)</f>
        <v>0.75</v>
      </c>
      <c r="BL40" s="24">
        <f t="shared" si="9"/>
        <v>53.5</v>
      </c>
      <c r="BM40" s="13">
        <f>AVERAGE(BM36:BM39)</f>
        <v>0</v>
      </c>
      <c r="BN40" s="13"/>
      <c r="BO40" s="13"/>
      <c r="BP40" s="24">
        <f t="shared" si="17"/>
        <v>-11.25</v>
      </c>
      <c r="BQ40" s="13">
        <f t="shared" si="17"/>
        <v>33.5</v>
      </c>
      <c r="BR40" s="24">
        <f t="shared" si="17"/>
        <v>-14.75</v>
      </c>
      <c r="BS40" s="13">
        <f t="shared" si="17"/>
        <v>43.25</v>
      </c>
      <c r="BT40" s="24">
        <f t="shared" si="17"/>
        <v>-11.5</v>
      </c>
      <c r="BU40" s="13">
        <f t="shared" si="17"/>
        <v>41.25</v>
      </c>
      <c r="BV40" s="24">
        <f t="shared" si="17"/>
        <v>-6</v>
      </c>
      <c r="BW40" s="13">
        <f t="shared" si="17"/>
        <v>18.25</v>
      </c>
      <c r="BX40" s="22" t="s">
        <v>1</v>
      </c>
      <c r="BY40" s="22" t="s">
        <v>1</v>
      </c>
      <c r="BZ40" s="24">
        <f t="shared" si="17"/>
        <v>-1.25</v>
      </c>
      <c r="CA40" s="13">
        <f t="shared" si="17"/>
        <v>32.5</v>
      </c>
      <c r="CB40" s="21">
        <f t="shared" si="17"/>
        <v>-0.9159999999999999</v>
      </c>
      <c r="CC40" s="24">
        <f t="shared" si="17"/>
        <v>-21.5</v>
      </c>
      <c r="CD40" s="13">
        <f t="shared" si="17"/>
        <v>40.75</v>
      </c>
      <c r="CE40" s="21">
        <f t="shared" si="17"/>
        <v>-2.875</v>
      </c>
      <c r="CF40" s="24">
        <f t="shared" si="17"/>
        <v>-16.5</v>
      </c>
      <c r="CG40" s="13">
        <f t="shared" si="17"/>
        <v>38.25</v>
      </c>
      <c r="CH40" s="21">
        <f t="shared" si="17"/>
        <v>-2.075</v>
      </c>
      <c r="CI40" s="24">
        <f t="shared" si="17"/>
        <v>32</v>
      </c>
      <c r="CJ40" s="13">
        <f t="shared" si="17"/>
        <v>20</v>
      </c>
      <c r="CK40" s="21">
        <f t="shared" si="17"/>
        <v>2.091</v>
      </c>
      <c r="CL40" s="22" t="s">
        <v>1</v>
      </c>
      <c r="CM40" s="22" t="s">
        <v>1</v>
      </c>
      <c r="CN40" s="22" t="s">
        <v>1</v>
      </c>
      <c r="CO40" s="24">
        <f t="shared" si="17"/>
        <v>9.25</v>
      </c>
      <c r="CP40" s="13">
        <f t="shared" si="17"/>
        <v>85</v>
      </c>
      <c r="CQ40" s="24">
        <f t="shared" si="17"/>
        <v>12.5</v>
      </c>
      <c r="CR40" s="13">
        <f t="shared" si="17"/>
        <v>79</v>
      </c>
      <c r="CS40" s="24">
        <f t="shared" si="17"/>
        <v>11.25</v>
      </c>
      <c r="CT40" s="13">
        <f t="shared" si="17"/>
        <v>82.25</v>
      </c>
      <c r="CU40" s="24">
        <f t="shared" si="17"/>
        <v>4</v>
      </c>
      <c r="CV40" s="13">
        <f t="shared" si="17"/>
        <v>93.5</v>
      </c>
      <c r="CW40" s="22" t="s">
        <v>1</v>
      </c>
      <c r="CX40" s="22" t="s">
        <v>1</v>
      </c>
      <c r="CY40" s="24">
        <f t="shared" si="17"/>
        <v>7.25</v>
      </c>
      <c r="CZ40" s="13">
        <f t="shared" si="17"/>
        <v>37.25</v>
      </c>
      <c r="DA40" s="24">
        <f t="shared" si="17"/>
        <v>7</v>
      </c>
      <c r="DB40" s="13">
        <f t="shared" si="17"/>
        <v>45.75</v>
      </c>
      <c r="DC40" s="24">
        <f t="shared" si="17"/>
        <v>8.5</v>
      </c>
      <c r="DD40" s="13">
        <f t="shared" si="17"/>
        <v>44</v>
      </c>
      <c r="DE40" s="24">
        <f t="shared" si="17"/>
        <v>7.5</v>
      </c>
      <c r="DF40" s="13">
        <f t="shared" si="17"/>
        <v>24.75</v>
      </c>
      <c r="DG40" s="22" t="s">
        <v>1</v>
      </c>
      <c r="DH40" s="22" t="s">
        <v>1</v>
      </c>
      <c r="DI40" s="24">
        <f t="shared" si="17"/>
        <v>10.75</v>
      </c>
      <c r="DJ40" s="13">
        <f t="shared" si="17"/>
        <v>45.75</v>
      </c>
      <c r="DK40" s="24">
        <f t="shared" si="17"/>
        <v>-0.5</v>
      </c>
      <c r="DL40" s="13">
        <f t="shared" si="17"/>
        <v>50.75</v>
      </c>
      <c r="DM40" s="24">
        <f t="shared" si="17"/>
        <v>2</v>
      </c>
      <c r="DN40" s="13">
        <f t="shared" si="17"/>
        <v>49</v>
      </c>
      <c r="DO40" s="24">
        <f t="shared" si="17"/>
        <v>29</v>
      </c>
      <c r="DP40" s="13">
        <f t="shared" si="17"/>
        <v>39</v>
      </c>
      <c r="DQ40" s="22" t="s">
        <v>1</v>
      </c>
      <c r="DR40" s="22" t="s">
        <v>1</v>
      </c>
      <c r="DS40" s="13">
        <f t="shared" si="17"/>
        <v>27.5</v>
      </c>
      <c r="DT40" s="13">
        <f t="shared" si="17"/>
        <v>70</v>
      </c>
      <c r="DU40" s="11">
        <f t="shared" si="17"/>
        <v>2</v>
      </c>
      <c r="DV40" s="24">
        <f t="shared" si="10"/>
        <v>25.5</v>
      </c>
      <c r="DW40" s="13">
        <f>AVERAGE(DW36:DW39)</f>
        <v>0.5</v>
      </c>
      <c r="DX40" s="13">
        <f>AVERAGE(DX36:DX39)</f>
        <v>30.75</v>
      </c>
      <c r="DY40" s="13">
        <f>AVERAGE(DY36:DY39)</f>
        <v>67.5</v>
      </c>
      <c r="DZ40" s="13">
        <f>AVERAGE(DZ36:DZ39)</f>
        <v>1.5</v>
      </c>
      <c r="EA40" s="24">
        <f t="shared" si="11"/>
        <v>29.25</v>
      </c>
      <c r="EB40" s="11">
        <f>AVERAGE(EB36:EB39)</f>
        <v>0</v>
      </c>
      <c r="EC40" s="15">
        <f>AVERAGE(EC36:EC39)</f>
        <v>72</v>
      </c>
      <c r="ED40" s="15">
        <f>AVERAGE(ED36:ED39)</f>
        <v>27.25</v>
      </c>
      <c r="EE40" s="15">
        <f>AVERAGE(EE36:EE39)</f>
        <v>0.5</v>
      </c>
      <c r="EF40" s="24">
        <f t="shared" si="12"/>
        <v>71.5</v>
      </c>
      <c r="EG40" s="11">
        <f>AVERAGE(EG36:EG39)</f>
        <v>0</v>
      </c>
      <c r="EH40" s="13">
        <f>AVERAGE(EH36:EH39)</f>
        <v>44.68063677274529</v>
      </c>
      <c r="EI40" s="13">
        <f>AVERAGE(EI36:EI39)</f>
        <v>53.42306598731614</v>
      </c>
      <c r="EJ40" s="13">
        <f>AVERAGE(EJ36:EJ39)</f>
        <v>1.5405080126870596</v>
      </c>
      <c r="EK40" s="24">
        <f t="shared" si="15"/>
        <v>43.140128760058225</v>
      </c>
      <c r="EL40" s="13">
        <f>AVERAGE(EL36:EL39)</f>
        <v>0.3557892272515058</v>
      </c>
      <c r="EM40" s="6" t="s">
        <v>1</v>
      </c>
      <c r="EN40" s="6" t="s">
        <v>1</v>
      </c>
      <c r="EO40" s="6" t="s">
        <v>1</v>
      </c>
      <c r="EP40" s="6" t="s">
        <v>1</v>
      </c>
      <c r="EQ40" s="6" t="s">
        <v>1</v>
      </c>
    </row>
    <row r="41" spans="1:147" ht="12">
      <c r="A41" s="1" t="s">
        <v>44</v>
      </c>
      <c r="B41" s="24">
        <f>9-65</f>
        <v>-56</v>
      </c>
      <c r="C41" s="8">
        <v>26</v>
      </c>
      <c r="D41" s="23">
        <f>10-54</f>
        <v>-44</v>
      </c>
      <c r="E41" s="8">
        <v>36</v>
      </c>
      <c r="F41" s="23">
        <f>11-49</f>
        <v>-38</v>
      </c>
      <c r="G41" s="8">
        <v>40</v>
      </c>
      <c r="H41" s="23">
        <f>8-79</f>
        <v>-71</v>
      </c>
      <c r="I41" s="8">
        <v>13</v>
      </c>
      <c r="J41" s="23">
        <f>41-33</f>
        <v>8</v>
      </c>
      <c r="K41" s="8">
        <v>26</v>
      </c>
      <c r="L41" s="20">
        <v>-0.8</v>
      </c>
      <c r="M41" s="23">
        <f>15-46</f>
        <v>-31</v>
      </c>
      <c r="N41" s="8">
        <v>39</v>
      </c>
      <c r="O41" s="20">
        <v>-3.3</v>
      </c>
      <c r="P41" s="23">
        <f>20-43</f>
        <v>-23</v>
      </c>
      <c r="Q41" s="8">
        <v>37</v>
      </c>
      <c r="R41" s="20">
        <v>-2.1</v>
      </c>
      <c r="S41" s="23">
        <f>67-20</f>
        <v>47</v>
      </c>
      <c r="T41" s="8">
        <v>13</v>
      </c>
      <c r="U41" s="20">
        <v>1.5</v>
      </c>
      <c r="V41" s="23">
        <f>11-1</f>
        <v>10</v>
      </c>
      <c r="W41" s="10">
        <v>87</v>
      </c>
      <c r="X41" s="23">
        <f>18-2</f>
        <v>16</v>
      </c>
      <c r="Y41" s="10">
        <v>80</v>
      </c>
      <c r="Z41" s="23">
        <f>16-2</f>
        <v>14</v>
      </c>
      <c r="AA41" s="10">
        <v>82</v>
      </c>
      <c r="AB41" s="23">
        <f>5-0</f>
        <v>5</v>
      </c>
      <c r="AC41" s="10">
        <v>95</v>
      </c>
      <c r="AD41" s="23">
        <f>46-17</f>
        <v>29</v>
      </c>
      <c r="AE41" s="10">
        <v>37</v>
      </c>
      <c r="AF41" s="23">
        <f>26-25</f>
        <v>1</v>
      </c>
      <c r="AG41" s="10">
        <v>49</v>
      </c>
      <c r="AH41" s="23">
        <f>35-14</f>
        <v>21</v>
      </c>
      <c r="AI41" s="10">
        <v>51</v>
      </c>
      <c r="AJ41" s="23">
        <f>64-12</f>
        <v>52</v>
      </c>
      <c r="AK41" s="10">
        <v>24</v>
      </c>
      <c r="AL41" s="23">
        <f>35-15</f>
        <v>20</v>
      </c>
      <c r="AM41" s="10">
        <v>49</v>
      </c>
      <c r="AN41" s="23">
        <f>17-29</f>
        <v>-12</v>
      </c>
      <c r="AO41" s="10">
        <v>53</v>
      </c>
      <c r="AP41" s="23">
        <f>27-17</f>
        <v>10</v>
      </c>
      <c r="AQ41" s="10">
        <v>56</v>
      </c>
      <c r="AR41" s="23">
        <f>51-4</f>
        <v>47</v>
      </c>
      <c r="AS41" s="10">
        <v>44</v>
      </c>
      <c r="AT41" s="12">
        <v>34</v>
      </c>
      <c r="AU41" s="12">
        <v>63</v>
      </c>
      <c r="AV41" s="12">
        <v>2</v>
      </c>
      <c r="AW41" s="24">
        <f t="shared" si="6"/>
        <v>32</v>
      </c>
      <c r="AX41" s="12">
        <v>1</v>
      </c>
      <c r="AY41" s="12">
        <v>29</v>
      </c>
      <c r="AZ41" s="12">
        <v>70</v>
      </c>
      <c r="BA41" s="12">
        <v>1</v>
      </c>
      <c r="BB41" s="24">
        <f t="shared" si="7"/>
        <v>28</v>
      </c>
      <c r="BC41" s="12">
        <v>1</v>
      </c>
      <c r="BD41" s="12">
        <v>78</v>
      </c>
      <c r="BE41" s="12">
        <v>22</v>
      </c>
      <c r="BF41" s="12">
        <v>0</v>
      </c>
      <c r="BG41" s="24">
        <f t="shared" si="8"/>
        <v>78</v>
      </c>
      <c r="BH41" s="12">
        <v>0</v>
      </c>
      <c r="BI41" s="8">
        <v>54</v>
      </c>
      <c r="BJ41" s="8">
        <v>45</v>
      </c>
      <c r="BK41" s="8">
        <v>1</v>
      </c>
      <c r="BL41" s="24">
        <f t="shared" si="9"/>
        <v>53</v>
      </c>
      <c r="BM41" s="8">
        <v>1</v>
      </c>
      <c r="BN41" s="8"/>
      <c r="BO41" s="8"/>
      <c r="BP41" s="24">
        <f>12-58</f>
        <v>-46</v>
      </c>
      <c r="BQ41" s="8">
        <v>31</v>
      </c>
      <c r="BR41" s="24">
        <f>11-50</f>
        <v>-39</v>
      </c>
      <c r="BS41" s="8">
        <v>39</v>
      </c>
      <c r="BT41" s="24">
        <f>13-48</f>
        <v>-35</v>
      </c>
      <c r="BU41" s="8">
        <v>39</v>
      </c>
      <c r="BV41" s="24">
        <f>13-69</f>
        <v>-56</v>
      </c>
      <c r="BW41" s="8">
        <v>18</v>
      </c>
      <c r="BX41" s="22" t="s">
        <v>1</v>
      </c>
      <c r="BY41" s="22" t="s">
        <v>1</v>
      </c>
      <c r="BZ41" s="24">
        <f>35-35</f>
        <v>0</v>
      </c>
      <c r="CA41" s="8">
        <v>30</v>
      </c>
      <c r="CB41" s="20">
        <v>-0.937</v>
      </c>
      <c r="CC41" s="24">
        <f>17-46</f>
        <v>-29</v>
      </c>
      <c r="CD41" s="8">
        <v>37</v>
      </c>
      <c r="CE41" s="20">
        <v>-3.1</v>
      </c>
      <c r="CF41" s="24">
        <f>20-42</f>
        <v>-22</v>
      </c>
      <c r="CG41" s="8">
        <v>38</v>
      </c>
      <c r="CH41" s="20">
        <v>-2.1</v>
      </c>
      <c r="CI41" s="24">
        <f>61-20</f>
        <v>41</v>
      </c>
      <c r="CJ41" s="8">
        <v>19</v>
      </c>
      <c r="CK41" s="20">
        <v>1.826</v>
      </c>
      <c r="CL41" s="22" t="s">
        <v>1</v>
      </c>
      <c r="CM41" s="22" t="s">
        <v>1</v>
      </c>
      <c r="CN41" s="22" t="s">
        <v>1</v>
      </c>
      <c r="CO41" s="24">
        <f>13-4</f>
        <v>9</v>
      </c>
      <c r="CP41" s="10">
        <v>82</v>
      </c>
      <c r="CQ41" s="24">
        <f>19-7</f>
        <v>12</v>
      </c>
      <c r="CR41" s="10">
        <v>74</v>
      </c>
      <c r="CS41" s="24">
        <f>17-6</f>
        <v>11</v>
      </c>
      <c r="CT41" s="10">
        <v>77</v>
      </c>
      <c r="CU41" s="24">
        <f>5-1</f>
        <v>4</v>
      </c>
      <c r="CV41" s="10">
        <v>93</v>
      </c>
      <c r="CW41" s="22" t="s">
        <v>1</v>
      </c>
      <c r="CX41" s="22" t="s">
        <v>1</v>
      </c>
      <c r="CY41" s="24">
        <f>38-24</f>
        <v>14</v>
      </c>
      <c r="CZ41" s="10">
        <v>38</v>
      </c>
      <c r="DA41" s="24">
        <f>35-19</f>
        <v>16</v>
      </c>
      <c r="DB41" s="10">
        <v>45</v>
      </c>
      <c r="DC41" s="24">
        <f>36-19</f>
        <v>17</v>
      </c>
      <c r="DD41" s="12">
        <v>45</v>
      </c>
      <c r="DE41" s="24">
        <f>42-30</f>
        <v>12</v>
      </c>
      <c r="DF41" s="12">
        <v>28</v>
      </c>
      <c r="DG41" s="22" t="s">
        <v>1</v>
      </c>
      <c r="DH41" s="22" t="s">
        <v>1</v>
      </c>
      <c r="DI41" s="24">
        <f>33-21</f>
        <v>12</v>
      </c>
      <c r="DJ41" s="12">
        <v>46</v>
      </c>
      <c r="DK41" s="24">
        <f>26-27</f>
        <v>-1</v>
      </c>
      <c r="DL41" s="12">
        <v>47</v>
      </c>
      <c r="DM41" s="24">
        <f>27-24</f>
        <v>3</v>
      </c>
      <c r="DN41" s="12">
        <v>49</v>
      </c>
      <c r="DO41" s="24">
        <f>43-12</f>
        <v>31</v>
      </c>
      <c r="DP41" s="12">
        <v>44</v>
      </c>
      <c r="DQ41" s="22" t="s">
        <v>1</v>
      </c>
      <c r="DR41" s="22" t="s">
        <v>1</v>
      </c>
      <c r="DS41" s="12">
        <v>33</v>
      </c>
      <c r="DT41" s="12">
        <v>65</v>
      </c>
      <c r="DU41" s="12">
        <v>1</v>
      </c>
      <c r="DV41" s="24">
        <f t="shared" si="10"/>
        <v>32</v>
      </c>
      <c r="DW41" s="12">
        <v>1</v>
      </c>
      <c r="DX41" s="12">
        <v>33</v>
      </c>
      <c r="DY41" s="12">
        <v>65</v>
      </c>
      <c r="DZ41" s="12">
        <v>1</v>
      </c>
      <c r="EA41" s="24">
        <f t="shared" si="11"/>
        <v>32</v>
      </c>
      <c r="EB41" s="11">
        <v>1</v>
      </c>
      <c r="EC41" s="12">
        <v>69</v>
      </c>
      <c r="ED41" s="12">
        <v>30</v>
      </c>
      <c r="EE41" s="12">
        <v>0</v>
      </c>
      <c r="EF41" s="24">
        <f t="shared" si="12"/>
        <v>69</v>
      </c>
      <c r="EG41" s="11">
        <v>0</v>
      </c>
      <c r="EH41" s="8">
        <v>47.39326296396876</v>
      </c>
      <c r="EI41" s="8">
        <v>51.09003814644715</v>
      </c>
      <c r="EJ41" s="8">
        <v>0.849830386850515</v>
      </c>
      <c r="EK41" s="24">
        <f t="shared" si="15"/>
        <v>46.543432577118246</v>
      </c>
      <c r="EL41" s="23">
        <v>0.6668685027335829</v>
      </c>
      <c r="EM41" s="6" t="s">
        <v>1</v>
      </c>
      <c r="EN41" s="6" t="s">
        <v>1</v>
      </c>
      <c r="EO41" s="6" t="s">
        <v>1</v>
      </c>
      <c r="EP41" s="6" t="s">
        <v>1</v>
      </c>
      <c r="EQ41" s="6" t="s">
        <v>1</v>
      </c>
    </row>
    <row r="42" spans="1:147" ht="12">
      <c r="A42" s="1" t="s">
        <v>36</v>
      </c>
      <c r="B42" s="24">
        <f>43-19</f>
        <v>24</v>
      </c>
      <c r="C42" s="8">
        <v>38</v>
      </c>
      <c r="D42" s="23">
        <f>13-26</f>
        <v>-13</v>
      </c>
      <c r="E42" s="8">
        <v>61</v>
      </c>
      <c r="F42" s="23">
        <f>19-26</f>
        <v>-7</v>
      </c>
      <c r="G42" s="8">
        <v>55</v>
      </c>
      <c r="H42" s="23">
        <f>73-12</f>
        <v>61</v>
      </c>
      <c r="I42" s="8">
        <v>15</v>
      </c>
      <c r="J42" s="23">
        <f>40-34</f>
        <v>6</v>
      </c>
      <c r="K42" s="8">
        <v>25</v>
      </c>
      <c r="L42" s="20">
        <v>-0.5</v>
      </c>
      <c r="M42" s="23">
        <f>16-46</f>
        <v>-30</v>
      </c>
      <c r="N42" s="8">
        <v>38</v>
      </c>
      <c r="O42" s="20">
        <v>-2.8</v>
      </c>
      <c r="P42" s="23">
        <f>18-41</f>
        <v>-23</v>
      </c>
      <c r="Q42" s="8">
        <v>40</v>
      </c>
      <c r="R42" s="20">
        <v>-1.9</v>
      </c>
      <c r="S42" s="23">
        <f>66-23</f>
        <v>43</v>
      </c>
      <c r="T42" s="8">
        <v>11</v>
      </c>
      <c r="U42" s="20">
        <v>1.8</v>
      </c>
      <c r="V42" s="23">
        <f>7-1</f>
        <v>6</v>
      </c>
      <c r="W42" s="10">
        <v>92</v>
      </c>
      <c r="X42" s="23">
        <f>12-2</f>
        <v>10</v>
      </c>
      <c r="Y42" s="10">
        <v>86</v>
      </c>
      <c r="Z42" s="23">
        <f>11-1</f>
        <v>10</v>
      </c>
      <c r="AA42" s="10">
        <v>88</v>
      </c>
      <c r="AB42" s="23">
        <f>2-0</f>
        <v>2</v>
      </c>
      <c r="AC42" s="10">
        <v>98</v>
      </c>
      <c r="AD42" s="23">
        <f>35-23</f>
        <v>12</v>
      </c>
      <c r="AE42" s="10">
        <v>42</v>
      </c>
      <c r="AF42" s="23">
        <f>17-25</f>
        <v>-8</v>
      </c>
      <c r="AG42" s="10">
        <v>58</v>
      </c>
      <c r="AH42" s="23">
        <f>14-30</f>
        <v>-16</v>
      </c>
      <c r="AI42" s="10">
        <v>55</v>
      </c>
      <c r="AJ42" s="23">
        <f>56-19</f>
        <v>37</v>
      </c>
      <c r="AK42" s="10">
        <v>25</v>
      </c>
      <c r="AL42" s="23">
        <f>29-19</f>
        <v>10</v>
      </c>
      <c r="AM42" s="10">
        <v>52</v>
      </c>
      <c r="AN42" s="23">
        <f>13-25</f>
        <v>-12</v>
      </c>
      <c r="AO42" s="10">
        <v>63</v>
      </c>
      <c r="AP42" s="23">
        <f>11-31</f>
        <v>-20</v>
      </c>
      <c r="AQ42" s="10">
        <v>58</v>
      </c>
      <c r="AR42" s="23">
        <f>47-11</f>
        <v>36</v>
      </c>
      <c r="AS42" s="10">
        <v>43</v>
      </c>
      <c r="AT42" s="12">
        <v>29</v>
      </c>
      <c r="AU42" s="12">
        <v>69</v>
      </c>
      <c r="AV42" s="12">
        <v>2</v>
      </c>
      <c r="AW42" s="24">
        <f t="shared" si="6"/>
        <v>27</v>
      </c>
      <c r="AX42" s="12">
        <v>0</v>
      </c>
      <c r="AY42" s="12">
        <v>35</v>
      </c>
      <c r="AZ42" s="12">
        <v>64</v>
      </c>
      <c r="BA42" s="12">
        <v>1</v>
      </c>
      <c r="BB42" s="24">
        <f t="shared" si="7"/>
        <v>34</v>
      </c>
      <c r="BC42" s="12">
        <v>0</v>
      </c>
      <c r="BD42" s="12">
        <v>78</v>
      </c>
      <c r="BE42" s="12">
        <v>22</v>
      </c>
      <c r="BF42" s="12">
        <v>0</v>
      </c>
      <c r="BG42" s="24">
        <f t="shared" si="8"/>
        <v>78</v>
      </c>
      <c r="BH42" s="12">
        <v>0</v>
      </c>
      <c r="BI42" s="8">
        <v>54</v>
      </c>
      <c r="BJ42" s="8">
        <v>46</v>
      </c>
      <c r="BK42" s="8">
        <v>1</v>
      </c>
      <c r="BL42" s="24">
        <f t="shared" si="9"/>
        <v>53</v>
      </c>
      <c r="BM42" s="8">
        <v>0</v>
      </c>
      <c r="BN42" s="8"/>
      <c r="BO42" s="8"/>
      <c r="BP42" s="24">
        <f>37-24</f>
        <v>13</v>
      </c>
      <c r="BQ42" s="8">
        <v>39</v>
      </c>
      <c r="BR42" s="24">
        <f>19-31</f>
        <v>-12</v>
      </c>
      <c r="BS42" s="8">
        <v>50</v>
      </c>
      <c r="BT42" s="24">
        <f>22-30</f>
        <v>-8</v>
      </c>
      <c r="BU42" s="8">
        <v>48</v>
      </c>
      <c r="BV42" s="24">
        <f>64-12</f>
        <v>52</v>
      </c>
      <c r="BW42" s="8">
        <v>24</v>
      </c>
      <c r="BX42" s="22" t="s">
        <v>1</v>
      </c>
      <c r="BY42" s="22" t="s">
        <v>1</v>
      </c>
      <c r="BZ42" s="24">
        <f>32-35</f>
        <v>-3</v>
      </c>
      <c r="CA42" s="8">
        <v>33</v>
      </c>
      <c r="CB42" s="20">
        <v>-1.321</v>
      </c>
      <c r="CC42" s="24">
        <f>13-45</f>
        <v>-32</v>
      </c>
      <c r="CD42" s="8">
        <v>42</v>
      </c>
      <c r="CE42" s="20">
        <v>-3.2</v>
      </c>
      <c r="CF42" s="24">
        <f>17-43</f>
        <v>-26</v>
      </c>
      <c r="CG42" s="8">
        <v>41</v>
      </c>
      <c r="CH42" s="20">
        <v>-2.1</v>
      </c>
      <c r="CI42" s="24">
        <f>59-20</f>
        <v>39</v>
      </c>
      <c r="CJ42" s="8">
        <v>21</v>
      </c>
      <c r="CK42" s="20">
        <v>1.028</v>
      </c>
      <c r="CL42" s="22" t="s">
        <v>1</v>
      </c>
      <c r="CM42" s="22" t="s">
        <v>1</v>
      </c>
      <c r="CN42" s="22" t="s">
        <v>1</v>
      </c>
      <c r="CO42" s="24">
        <f>11-3</f>
        <v>8</v>
      </c>
      <c r="CP42" s="10">
        <v>86</v>
      </c>
      <c r="CQ42" s="24">
        <f>16-4</f>
        <v>12</v>
      </c>
      <c r="CR42" s="10">
        <v>79</v>
      </c>
      <c r="CS42" s="24">
        <f>13-3</f>
        <v>10</v>
      </c>
      <c r="CT42" s="10">
        <v>84</v>
      </c>
      <c r="CU42" s="24">
        <f>5-1</f>
        <v>4</v>
      </c>
      <c r="CV42" s="10">
        <v>94</v>
      </c>
      <c r="CW42" s="22" t="s">
        <v>1</v>
      </c>
      <c r="CX42" s="22" t="s">
        <v>1</v>
      </c>
      <c r="CY42" s="24">
        <f>29-31</f>
        <v>-2</v>
      </c>
      <c r="CZ42" s="10">
        <v>40</v>
      </c>
      <c r="DA42" s="24">
        <f>23-30</f>
        <v>-7</v>
      </c>
      <c r="DB42" s="10">
        <v>46</v>
      </c>
      <c r="DC42" s="24">
        <f>24-30</f>
        <v>-6</v>
      </c>
      <c r="DD42" s="12">
        <v>46</v>
      </c>
      <c r="DE42" s="24">
        <f>38-33</f>
        <v>5</v>
      </c>
      <c r="DF42" s="12">
        <v>29</v>
      </c>
      <c r="DG42" s="22" t="s">
        <v>1</v>
      </c>
      <c r="DH42" s="22" t="s">
        <v>1</v>
      </c>
      <c r="DI42" s="24">
        <f>27-25</f>
        <v>2</v>
      </c>
      <c r="DJ42" s="12">
        <v>49</v>
      </c>
      <c r="DK42" s="24">
        <f>19-31</f>
        <v>-12</v>
      </c>
      <c r="DL42" s="12">
        <v>50</v>
      </c>
      <c r="DM42" s="24">
        <f>18-30</f>
        <v>-12</v>
      </c>
      <c r="DN42" s="12">
        <v>52</v>
      </c>
      <c r="DO42" s="24">
        <f>39-16</f>
        <v>23</v>
      </c>
      <c r="DP42" s="12">
        <v>45</v>
      </c>
      <c r="DQ42" s="22" t="s">
        <v>1</v>
      </c>
      <c r="DR42" s="22" t="s">
        <v>1</v>
      </c>
      <c r="DS42" s="12">
        <v>26</v>
      </c>
      <c r="DT42" s="12">
        <v>73</v>
      </c>
      <c r="DU42" s="12">
        <v>1</v>
      </c>
      <c r="DV42" s="24">
        <f t="shared" si="10"/>
        <v>25</v>
      </c>
      <c r="DW42" s="12">
        <v>0</v>
      </c>
      <c r="DX42" s="12">
        <v>31</v>
      </c>
      <c r="DY42" s="12">
        <v>67</v>
      </c>
      <c r="DZ42" s="12">
        <v>1</v>
      </c>
      <c r="EA42" s="24">
        <f t="shared" si="11"/>
        <v>30</v>
      </c>
      <c r="EB42" s="11">
        <v>1</v>
      </c>
      <c r="EC42" s="12">
        <v>66</v>
      </c>
      <c r="ED42" s="12">
        <v>34</v>
      </c>
      <c r="EE42" s="12">
        <v>1</v>
      </c>
      <c r="EF42" s="24">
        <f t="shared" si="12"/>
        <v>65</v>
      </c>
      <c r="EG42" s="11">
        <v>0</v>
      </c>
      <c r="EH42" s="8">
        <v>42.61899147707748</v>
      </c>
      <c r="EI42" s="8">
        <v>56.27443038082111</v>
      </c>
      <c r="EJ42" s="8">
        <v>0.8485723190185921</v>
      </c>
      <c r="EK42" s="24">
        <f t="shared" si="15"/>
        <v>41.770419158058886</v>
      </c>
      <c r="EL42" s="23">
        <v>0.25800582308282405</v>
      </c>
      <c r="EM42" s="6" t="s">
        <v>1</v>
      </c>
      <c r="EN42" s="6" t="s">
        <v>1</v>
      </c>
      <c r="EO42" s="6" t="s">
        <v>1</v>
      </c>
      <c r="EP42" s="6" t="s">
        <v>1</v>
      </c>
      <c r="EQ42" s="6" t="s">
        <v>1</v>
      </c>
    </row>
    <row r="43" spans="1:147" ht="12">
      <c r="A43" s="1" t="s">
        <v>32</v>
      </c>
      <c r="B43" s="24">
        <f>15-54</f>
        <v>-39</v>
      </c>
      <c r="C43" s="8">
        <v>31</v>
      </c>
      <c r="D43" s="23">
        <f>20-37</f>
        <v>-17</v>
      </c>
      <c r="E43" s="8">
        <v>43</v>
      </c>
      <c r="F43" s="23">
        <f>22-29</f>
        <v>-7</v>
      </c>
      <c r="G43" s="8">
        <v>49</v>
      </c>
      <c r="H43" s="23">
        <f>8-76</f>
        <v>-68</v>
      </c>
      <c r="I43" s="8">
        <v>16</v>
      </c>
      <c r="J43" s="23">
        <f>40-28</f>
        <v>12</v>
      </c>
      <c r="K43" s="8">
        <v>32</v>
      </c>
      <c r="L43" s="20">
        <v>-0.2</v>
      </c>
      <c r="M43" s="23">
        <f>17-36</f>
        <v>-19</v>
      </c>
      <c r="N43" s="8">
        <v>47</v>
      </c>
      <c r="O43" s="20">
        <v>-1.5</v>
      </c>
      <c r="P43" s="23">
        <f>20-34</f>
        <v>-14</v>
      </c>
      <c r="Q43" s="8">
        <v>46</v>
      </c>
      <c r="R43" s="20">
        <v>-1.1</v>
      </c>
      <c r="S43" s="23">
        <f>65-20</f>
        <v>45</v>
      </c>
      <c r="T43" s="8">
        <v>15</v>
      </c>
      <c r="U43" s="20">
        <v>1.2</v>
      </c>
      <c r="V43" s="23">
        <f>9-3</f>
        <v>6</v>
      </c>
      <c r="W43" s="10">
        <v>88</v>
      </c>
      <c r="X43" s="23">
        <f>13-5</f>
        <v>8</v>
      </c>
      <c r="Y43" s="10">
        <v>81</v>
      </c>
      <c r="Z43" s="23">
        <f>16-5</f>
        <v>11</v>
      </c>
      <c r="AA43" s="10">
        <v>79</v>
      </c>
      <c r="AB43" s="23">
        <f>2-1</f>
        <v>1</v>
      </c>
      <c r="AC43" s="10">
        <v>96</v>
      </c>
      <c r="AD43" s="23">
        <f>63-14</f>
        <v>49</v>
      </c>
      <c r="AE43" s="10">
        <v>23</v>
      </c>
      <c r="AF43" s="23">
        <f>54-16</f>
        <v>38</v>
      </c>
      <c r="AG43" s="10">
        <v>30</v>
      </c>
      <c r="AH43" s="23">
        <f>54-15</f>
        <v>39</v>
      </c>
      <c r="AI43" s="10">
        <v>31</v>
      </c>
      <c r="AJ43" s="23">
        <f>74-13</f>
        <v>61</v>
      </c>
      <c r="AK43" s="10">
        <v>14</v>
      </c>
      <c r="AL43" s="23">
        <f>48-14</f>
        <v>34</v>
      </c>
      <c r="AM43" s="10">
        <v>39</v>
      </c>
      <c r="AN43" s="23">
        <f>40-21</f>
        <v>19</v>
      </c>
      <c r="AO43" s="10">
        <v>39</v>
      </c>
      <c r="AP43" s="23">
        <f>44-20</f>
        <v>24</v>
      </c>
      <c r="AQ43" s="10">
        <v>35</v>
      </c>
      <c r="AR43" s="23">
        <f>55-5</f>
        <v>50</v>
      </c>
      <c r="AS43" s="10">
        <v>40</v>
      </c>
      <c r="AT43" s="12">
        <v>30</v>
      </c>
      <c r="AU43" s="12">
        <v>65</v>
      </c>
      <c r="AV43" s="12">
        <v>4</v>
      </c>
      <c r="AW43" s="24">
        <f t="shared" si="6"/>
        <v>26</v>
      </c>
      <c r="AX43" s="12">
        <v>1</v>
      </c>
      <c r="AY43" s="12">
        <v>35</v>
      </c>
      <c r="AZ43" s="12">
        <v>62</v>
      </c>
      <c r="BA43" s="12">
        <v>3</v>
      </c>
      <c r="BB43" s="24">
        <f t="shared" si="7"/>
        <v>32</v>
      </c>
      <c r="BC43" s="12">
        <v>0</v>
      </c>
      <c r="BD43" s="12">
        <v>77</v>
      </c>
      <c r="BE43" s="12">
        <v>22</v>
      </c>
      <c r="BF43" s="12">
        <v>1</v>
      </c>
      <c r="BG43" s="24">
        <f t="shared" si="8"/>
        <v>76</v>
      </c>
      <c r="BH43" s="12">
        <v>0</v>
      </c>
      <c r="BI43" s="8">
        <v>53</v>
      </c>
      <c r="BJ43" s="8">
        <v>45</v>
      </c>
      <c r="BK43" s="8">
        <v>2</v>
      </c>
      <c r="BL43" s="24">
        <f t="shared" si="9"/>
        <v>51</v>
      </c>
      <c r="BM43" s="8">
        <v>0</v>
      </c>
      <c r="BN43" s="8"/>
      <c r="BO43" s="8"/>
      <c r="BP43" s="24">
        <f>20-46</f>
        <v>-26</v>
      </c>
      <c r="BQ43" s="8">
        <v>34</v>
      </c>
      <c r="BR43" s="24">
        <f>19-38</f>
        <v>-19</v>
      </c>
      <c r="BS43" s="8">
        <v>43</v>
      </c>
      <c r="BT43" s="24">
        <f>21-37</f>
        <v>-16</v>
      </c>
      <c r="BU43" s="8">
        <v>42</v>
      </c>
      <c r="BV43" s="24">
        <f>20-59</f>
        <v>-39</v>
      </c>
      <c r="BW43" s="8">
        <v>21</v>
      </c>
      <c r="BX43" s="22" t="s">
        <v>1</v>
      </c>
      <c r="BY43" s="22" t="s">
        <v>1</v>
      </c>
      <c r="BZ43" s="24">
        <f>32-34</f>
        <v>-2</v>
      </c>
      <c r="CA43" s="8">
        <v>34</v>
      </c>
      <c r="CB43" s="20">
        <v>-0.941</v>
      </c>
      <c r="CC43" s="24">
        <f>18-39</f>
        <v>-21</v>
      </c>
      <c r="CD43" s="8">
        <v>43</v>
      </c>
      <c r="CE43" s="20">
        <v>-2.2</v>
      </c>
      <c r="CF43" s="24">
        <f>22-37</f>
        <v>-15</v>
      </c>
      <c r="CG43" s="8">
        <v>41</v>
      </c>
      <c r="CH43" s="20">
        <v>-1.5</v>
      </c>
      <c r="CI43" s="24">
        <f>52-26</f>
        <v>26</v>
      </c>
      <c r="CJ43" s="8">
        <v>22</v>
      </c>
      <c r="CK43" s="20">
        <v>0.729</v>
      </c>
      <c r="CL43" s="22" t="s">
        <v>1</v>
      </c>
      <c r="CM43" s="22" t="s">
        <v>1</v>
      </c>
      <c r="CN43" s="22" t="s">
        <v>1</v>
      </c>
      <c r="CO43" s="24">
        <f>11-4</f>
        <v>7</v>
      </c>
      <c r="CP43" s="10">
        <v>85</v>
      </c>
      <c r="CQ43" s="24">
        <f>17-5</f>
        <v>12</v>
      </c>
      <c r="CR43" s="10">
        <v>78</v>
      </c>
      <c r="CS43" s="24">
        <f>14-5</f>
        <v>9</v>
      </c>
      <c r="CT43" s="10">
        <v>80</v>
      </c>
      <c r="CU43" s="24">
        <f>4-1</f>
        <v>3</v>
      </c>
      <c r="CV43" s="10">
        <v>94</v>
      </c>
      <c r="CW43" s="22" t="s">
        <v>1</v>
      </c>
      <c r="CX43" s="22" t="s">
        <v>1</v>
      </c>
      <c r="CY43" s="24">
        <f>58-17</f>
        <v>41</v>
      </c>
      <c r="CZ43" s="10">
        <v>25</v>
      </c>
      <c r="DA43" s="24">
        <f>54-16</f>
        <v>38</v>
      </c>
      <c r="DB43" s="10">
        <v>30</v>
      </c>
      <c r="DC43" s="24">
        <f>58-13</f>
        <v>45</v>
      </c>
      <c r="DD43" s="12">
        <v>29</v>
      </c>
      <c r="DE43" s="24">
        <f>61-21</f>
        <v>40</v>
      </c>
      <c r="DF43" s="12">
        <v>18</v>
      </c>
      <c r="DG43" s="22" t="s">
        <v>1</v>
      </c>
      <c r="DH43" s="22" t="s">
        <v>1</v>
      </c>
      <c r="DI43" s="24">
        <f>48-17</f>
        <v>31</v>
      </c>
      <c r="DJ43" s="12">
        <v>35</v>
      </c>
      <c r="DK43" s="24">
        <f>45-18</f>
        <v>27</v>
      </c>
      <c r="DL43" s="12">
        <v>37</v>
      </c>
      <c r="DM43" s="24">
        <f>49-15</f>
        <v>34</v>
      </c>
      <c r="DN43" s="12">
        <v>35</v>
      </c>
      <c r="DO43" s="24">
        <f>51-16</f>
        <v>35</v>
      </c>
      <c r="DP43" s="12">
        <v>33</v>
      </c>
      <c r="DQ43" s="22" t="s">
        <v>1</v>
      </c>
      <c r="DR43" s="22" t="s">
        <v>1</v>
      </c>
      <c r="DS43" s="12">
        <v>31</v>
      </c>
      <c r="DT43" s="12">
        <v>66</v>
      </c>
      <c r="DU43" s="12">
        <v>2</v>
      </c>
      <c r="DV43" s="24">
        <f t="shared" si="10"/>
        <v>29</v>
      </c>
      <c r="DW43" s="12">
        <v>0</v>
      </c>
      <c r="DX43" s="12">
        <v>35</v>
      </c>
      <c r="DY43" s="12">
        <v>63</v>
      </c>
      <c r="DZ43" s="12">
        <v>3</v>
      </c>
      <c r="EA43" s="24">
        <f t="shared" si="11"/>
        <v>32</v>
      </c>
      <c r="EB43" s="11">
        <v>0</v>
      </c>
      <c r="EC43" s="12">
        <v>70</v>
      </c>
      <c r="ED43" s="12">
        <v>29</v>
      </c>
      <c r="EE43" s="12">
        <v>1</v>
      </c>
      <c r="EF43" s="24">
        <f t="shared" si="12"/>
        <v>69</v>
      </c>
      <c r="EG43" s="11">
        <v>0</v>
      </c>
      <c r="EH43" s="8">
        <v>47.0864488254727</v>
      </c>
      <c r="EI43" s="8">
        <v>51.27677490805232</v>
      </c>
      <c r="EJ43" s="8">
        <v>1.524353425705364</v>
      </c>
      <c r="EK43" s="24">
        <f t="shared" si="15"/>
        <v>45.56209539976734</v>
      </c>
      <c r="EL43" s="23">
        <v>0.1124228407696222</v>
      </c>
      <c r="EM43" s="6" t="s">
        <v>1</v>
      </c>
      <c r="EN43" s="6" t="s">
        <v>1</v>
      </c>
      <c r="EO43" s="6" t="s">
        <v>1</v>
      </c>
      <c r="EP43" s="6" t="s">
        <v>1</v>
      </c>
      <c r="EQ43" s="6" t="s">
        <v>1</v>
      </c>
    </row>
    <row r="44" spans="1:147" ht="12">
      <c r="A44" s="1" t="s">
        <v>33</v>
      </c>
      <c r="B44" s="24">
        <f>54-18</f>
        <v>36</v>
      </c>
      <c r="C44" s="8">
        <v>29</v>
      </c>
      <c r="D44" s="23">
        <f>40-18</f>
        <v>22</v>
      </c>
      <c r="E44" s="8">
        <v>42</v>
      </c>
      <c r="F44" s="23">
        <f>38-16</f>
        <v>22</v>
      </c>
      <c r="G44" s="8">
        <v>46</v>
      </c>
      <c r="H44" s="23">
        <f>70-18</f>
        <v>52</v>
      </c>
      <c r="I44" s="8">
        <v>12</v>
      </c>
      <c r="J44" s="23">
        <f>53-18</f>
        <v>35</v>
      </c>
      <c r="K44" s="8">
        <v>29</v>
      </c>
      <c r="L44" s="20">
        <v>2.4</v>
      </c>
      <c r="M44" s="23">
        <f>24-28</f>
        <v>-4</v>
      </c>
      <c r="N44" s="8">
        <v>48</v>
      </c>
      <c r="O44" s="20">
        <v>-0.6</v>
      </c>
      <c r="P44" s="23">
        <f>34-28</f>
        <v>6</v>
      </c>
      <c r="Q44" s="8">
        <v>39</v>
      </c>
      <c r="R44" s="20">
        <v>0.2</v>
      </c>
      <c r="S44" s="23">
        <f>83-6</f>
        <v>77</v>
      </c>
      <c r="T44" s="8">
        <v>11</v>
      </c>
      <c r="U44" s="20">
        <v>5.5</v>
      </c>
      <c r="V44" s="23">
        <f>7-2</f>
        <v>5</v>
      </c>
      <c r="W44" s="10">
        <v>91</v>
      </c>
      <c r="X44" s="23">
        <f>11-4</f>
        <v>7</v>
      </c>
      <c r="Y44" s="10">
        <v>85</v>
      </c>
      <c r="Z44" s="23">
        <f>11-2</f>
        <v>9</v>
      </c>
      <c r="AA44" s="10">
        <v>87</v>
      </c>
      <c r="AB44" s="23">
        <f>2-1</f>
        <v>1</v>
      </c>
      <c r="AC44" s="10">
        <v>97</v>
      </c>
      <c r="AD44" s="23">
        <f>36-27</f>
        <v>9</v>
      </c>
      <c r="AE44" s="10">
        <v>37</v>
      </c>
      <c r="AF44" s="23">
        <f>18-34</f>
        <v>-16</v>
      </c>
      <c r="AG44" s="10">
        <v>48</v>
      </c>
      <c r="AH44" s="23">
        <f>18-35</f>
        <v>-17</v>
      </c>
      <c r="AI44" s="10">
        <v>47</v>
      </c>
      <c r="AJ44" s="23">
        <f>57-18</f>
        <v>39</v>
      </c>
      <c r="AK44" s="10">
        <v>25</v>
      </c>
      <c r="AL44" s="23">
        <f>26-21</f>
        <v>5</v>
      </c>
      <c r="AM44" s="10">
        <v>53</v>
      </c>
      <c r="AN44" s="23">
        <f>13-29</f>
        <v>-16</v>
      </c>
      <c r="AO44" s="10">
        <v>59</v>
      </c>
      <c r="AP44" s="23">
        <f>11-36</f>
        <v>-25</v>
      </c>
      <c r="AQ44" s="10">
        <v>53</v>
      </c>
      <c r="AR44" s="23">
        <f>42-10</f>
        <v>32</v>
      </c>
      <c r="AS44" s="10">
        <v>48</v>
      </c>
      <c r="AT44" s="12">
        <v>27</v>
      </c>
      <c r="AU44" s="12">
        <v>71</v>
      </c>
      <c r="AV44" s="12">
        <v>2</v>
      </c>
      <c r="AW44" s="24">
        <f t="shared" si="6"/>
        <v>25</v>
      </c>
      <c r="AX44" s="12">
        <v>0</v>
      </c>
      <c r="AY44" s="12">
        <v>26</v>
      </c>
      <c r="AZ44" s="12">
        <v>70</v>
      </c>
      <c r="BA44" s="12">
        <v>3</v>
      </c>
      <c r="BB44" s="24">
        <f t="shared" si="7"/>
        <v>23</v>
      </c>
      <c r="BC44" s="12">
        <v>0</v>
      </c>
      <c r="BD44" s="12">
        <v>79</v>
      </c>
      <c r="BE44" s="12">
        <v>20</v>
      </c>
      <c r="BF44" s="12">
        <v>1</v>
      </c>
      <c r="BG44" s="24">
        <f t="shared" si="8"/>
        <v>78</v>
      </c>
      <c r="BH44" s="12">
        <v>0</v>
      </c>
      <c r="BI44" s="8">
        <v>51</v>
      </c>
      <c r="BJ44" s="8">
        <v>47</v>
      </c>
      <c r="BK44" s="8">
        <v>2</v>
      </c>
      <c r="BL44" s="24">
        <f t="shared" si="9"/>
        <v>49</v>
      </c>
      <c r="BM44" s="8">
        <v>0</v>
      </c>
      <c r="BN44" s="8"/>
      <c r="BO44" s="8"/>
      <c r="BP44" s="24">
        <f>46-22</f>
        <v>24</v>
      </c>
      <c r="BQ44" s="8">
        <v>32</v>
      </c>
      <c r="BR44" s="24">
        <f>33-25</f>
        <v>8</v>
      </c>
      <c r="BS44" s="8">
        <v>42</v>
      </c>
      <c r="BT44" s="24">
        <f>39-21</f>
        <v>18</v>
      </c>
      <c r="BU44" s="8">
        <v>40</v>
      </c>
      <c r="BV44" s="24">
        <f>64-18</f>
        <v>46</v>
      </c>
      <c r="BW44" s="8">
        <v>17</v>
      </c>
      <c r="BX44" s="22" t="s">
        <v>1</v>
      </c>
      <c r="BY44" s="22" t="s">
        <v>1</v>
      </c>
      <c r="BZ44" s="24">
        <f>41-25</f>
        <v>16</v>
      </c>
      <c r="CA44" s="8">
        <v>35</v>
      </c>
      <c r="CB44" s="20">
        <v>0.362</v>
      </c>
      <c r="CC44" s="24">
        <f>21-34</f>
        <v>-13</v>
      </c>
      <c r="CD44" s="8">
        <v>45</v>
      </c>
      <c r="CE44" s="20">
        <v>-1.5</v>
      </c>
      <c r="CF44" s="24">
        <f>30-29</f>
        <v>1</v>
      </c>
      <c r="CG44" s="8">
        <v>41</v>
      </c>
      <c r="CH44" s="20">
        <v>-0.3</v>
      </c>
      <c r="CI44" s="24">
        <f>67-12</f>
        <v>55</v>
      </c>
      <c r="CJ44" s="8">
        <v>20</v>
      </c>
      <c r="CK44" s="20">
        <v>2.756</v>
      </c>
      <c r="CL44" s="22" t="s">
        <v>1</v>
      </c>
      <c r="CM44" s="22" t="s">
        <v>1</v>
      </c>
      <c r="CN44" s="22" t="s">
        <v>1</v>
      </c>
      <c r="CO44" s="24">
        <f>10-4</f>
        <v>6</v>
      </c>
      <c r="CP44" s="10">
        <v>86</v>
      </c>
      <c r="CQ44" s="24">
        <f>15-4</f>
        <v>11</v>
      </c>
      <c r="CR44" s="10">
        <v>82</v>
      </c>
      <c r="CS44" s="24">
        <f>11-5</f>
        <v>6</v>
      </c>
      <c r="CT44" s="10">
        <v>84</v>
      </c>
      <c r="CU44" s="24">
        <f>5-3</f>
        <v>2</v>
      </c>
      <c r="CV44" s="10">
        <v>92</v>
      </c>
      <c r="CW44" s="22" t="s">
        <v>1</v>
      </c>
      <c r="CX44" s="22" t="s">
        <v>1</v>
      </c>
      <c r="CY44" s="24">
        <f>27-29</f>
        <v>-2</v>
      </c>
      <c r="CZ44" s="10">
        <v>44</v>
      </c>
      <c r="DA44" s="24">
        <f>19-26</f>
        <v>-7</v>
      </c>
      <c r="DB44" s="10">
        <v>55</v>
      </c>
      <c r="DC44" s="24">
        <f>19-27</f>
        <v>-8</v>
      </c>
      <c r="DD44" s="12">
        <v>54</v>
      </c>
      <c r="DE44" s="24">
        <f>39-33</f>
        <v>6</v>
      </c>
      <c r="DF44" s="12">
        <v>28</v>
      </c>
      <c r="DG44" s="22" t="s">
        <v>1</v>
      </c>
      <c r="DH44" s="22" t="s">
        <v>1</v>
      </c>
      <c r="DI44" s="24">
        <f>21-28</f>
        <v>-7</v>
      </c>
      <c r="DJ44" s="12">
        <v>51</v>
      </c>
      <c r="DK44" s="24">
        <f>14-29</f>
        <v>-15</v>
      </c>
      <c r="DL44" s="12">
        <v>57</v>
      </c>
      <c r="DM44" s="24">
        <f>15-28</f>
        <v>-13</v>
      </c>
      <c r="DN44" s="12">
        <v>57</v>
      </c>
      <c r="DO44" s="24">
        <f>32-26</f>
        <v>6</v>
      </c>
      <c r="DP44" s="12">
        <v>42</v>
      </c>
      <c r="DQ44" s="22" t="s">
        <v>1</v>
      </c>
      <c r="DR44" s="22" t="s">
        <v>1</v>
      </c>
      <c r="DS44" s="12">
        <v>24</v>
      </c>
      <c r="DT44" s="12">
        <v>72</v>
      </c>
      <c r="DU44" s="12">
        <v>2</v>
      </c>
      <c r="DV44" s="24">
        <f t="shared" si="10"/>
        <v>22</v>
      </c>
      <c r="DW44" s="12">
        <v>1</v>
      </c>
      <c r="DX44" s="12">
        <v>28</v>
      </c>
      <c r="DY44" s="12">
        <v>70</v>
      </c>
      <c r="DZ44" s="12">
        <v>1</v>
      </c>
      <c r="EA44" s="24">
        <f t="shared" si="11"/>
        <v>27</v>
      </c>
      <c r="EB44" s="12">
        <v>1</v>
      </c>
      <c r="EC44" s="12">
        <v>69</v>
      </c>
      <c r="ED44" s="12">
        <v>31</v>
      </c>
      <c r="EE44" s="12">
        <v>1</v>
      </c>
      <c r="EF44" s="24">
        <f t="shared" si="12"/>
        <v>68</v>
      </c>
      <c r="EG44" s="12">
        <v>0</v>
      </c>
      <c r="EH44" s="8">
        <v>42.324683948749744</v>
      </c>
      <c r="EI44" s="8">
        <v>55.338746437020184</v>
      </c>
      <c r="EJ44" s="8">
        <v>1.4625163051101953</v>
      </c>
      <c r="EK44" s="24">
        <f t="shared" si="15"/>
        <v>40.86216764363955</v>
      </c>
      <c r="EL44" s="23">
        <v>0.8740533091198778</v>
      </c>
      <c r="EM44" s="6" t="s">
        <v>1</v>
      </c>
      <c r="EN44" s="6" t="s">
        <v>1</v>
      </c>
      <c r="EO44" s="6" t="s">
        <v>1</v>
      </c>
      <c r="EP44" s="6" t="s">
        <v>1</v>
      </c>
      <c r="EQ44" s="6" t="s">
        <v>1</v>
      </c>
    </row>
    <row r="45" spans="1:147" ht="12">
      <c r="A45" s="1" t="s">
        <v>45</v>
      </c>
      <c r="B45" s="24">
        <f aca="true" t="shared" si="18" ref="B45:AV45">AVERAGE(B41:B44)</f>
        <v>-8.75</v>
      </c>
      <c r="C45" s="13">
        <f t="shared" si="18"/>
        <v>31</v>
      </c>
      <c r="D45" s="24">
        <f t="shared" si="18"/>
        <v>-13</v>
      </c>
      <c r="E45" s="13">
        <f t="shared" si="18"/>
        <v>45.5</v>
      </c>
      <c r="F45" s="24">
        <f t="shared" si="18"/>
        <v>-7.5</v>
      </c>
      <c r="G45" s="13">
        <f t="shared" si="18"/>
        <v>47.5</v>
      </c>
      <c r="H45" s="24">
        <f t="shared" si="18"/>
        <v>-6.5</v>
      </c>
      <c r="I45" s="13">
        <f t="shared" si="18"/>
        <v>14</v>
      </c>
      <c r="J45" s="24">
        <f t="shared" si="18"/>
        <v>15.25</v>
      </c>
      <c r="K45" s="13">
        <f t="shared" si="18"/>
        <v>28</v>
      </c>
      <c r="L45" s="21">
        <f t="shared" si="18"/>
        <v>0.22499999999999998</v>
      </c>
      <c r="M45" s="24">
        <f t="shared" si="18"/>
        <v>-21</v>
      </c>
      <c r="N45" s="13">
        <f t="shared" si="18"/>
        <v>43</v>
      </c>
      <c r="O45" s="21">
        <f t="shared" si="18"/>
        <v>-2.05</v>
      </c>
      <c r="P45" s="24">
        <f t="shared" si="18"/>
        <v>-13.5</v>
      </c>
      <c r="Q45" s="13">
        <f t="shared" si="18"/>
        <v>40.5</v>
      </c>
      <c r="R45" s="21">
        <f t="shared" si="18"/>
        <v>-1.2249999999999999</v>
      </c>
      <c r="S45" s="24">
        <f t="shared" si="18"/>
        <v>53</v>
      </c>
      <c r="T45" s="13">
        <f t="shared" si="18"/>
        <v>12.5</v>
      </c>
      <c r="U45" s="21">
        <f t="shared" si="18"/>
        <v>2.5</v>
      </c>
      <c r="V45" s="24">
        <f t="shared" si="18"/>
        <v>6.75</v>
      </c>
      <c r="W45" s="13">
        <f t="shared" si="18"/>
        <v>89.5</v>
      </c>
      <c r="X45" s="24">
        <f t="shared" si="18"/>
        <v>10.25</v>
      </c>
      <c r="Y45" s="13">
        <f t="shared" si="18"/>
        <v>83</v>
      </c>
      <c r="Z45" s="24">
        <f t="shared" si="18"/>
        <v>11</v>
      </c>
      <c r="AA45" s="13">
        <f t="shared" si="18"/>
        <v>84</v>
      </c>
      <c r="AB45" s="24">
        <f t="shared" si="18"/>
        <v>2.25</v>
      </c>
      <c r="AC45" s="13">
        <f t="shared" si="18"/>
        <v>96.5</v>
      </c>
      <c r="AD45" s="24">
        <f t="shared" si="18"/>
        <v>24.75</v>
      </c>
      <c r="AE45" s="13">
        <f t="shared" si="18"/>
        <v>34.75</v>
      </c>
      <c r="AF45" s="24">
        <f t="shared" si="18"/>
        <v>3.75</v>
      </c>
      <c r="AG45" s="13">
        <f t="shared" si="18"/>
        <v>46.25</v>
      </c>
      <c r="AH45" s="24">
        <f t="shared" si="18"/>
        <v>6.75</v>
      </c>
      <c r="AI45" s="13">
        <f t="shared" si="18"/>
        <v>46</v>
      </c>
      <c r="AJ45" s="24">
        <f t="shared" si="18"/>
        <v>47.25</v>
      </c>
      <c r="AK45" s="13">
        <f t="shared" si="18"/>
        <v>22</v>
      </c>
      <c r="AL45" s="24">
        <f t="shared" si="18"/>
        <v>17.25</v>
      </c>
      <c r="AM45" s="13">
        <f t="shared" si="18"/>
        <v>48.25</v>
      </c>
      <c r="AN45" s="24">
        <f t="shared" si="18"/>
        <v>-5.25</v>
      </c>
      <c r="AO45" s="13">
        <f t="shared" si="18"/>
        <v>53.5</v>
      </c>
      <c r="AP45" s="24">
        <f t="shared" si="18"/>
        <v>-2.75</v>
      </c>
      <c r="AQ45" s="13">
        <f t="shared" si="18"/>
        <v>50.5</v>
      </c>
      <c r="AR45" s="24">
        <f t="shared" si="18"/>
        <v>41.25</v>
      </c>
      <c r="AS45" s="13">
        <f t="shared" si="18"/>
        <v>43.75</v>
      </c>
      <c r="AT45" s="11">
        <f t="shared" si="18"/>
        <v>30</v>
      </c>
      <c r="AU45" s="13">
        <f t="shared" si="18"/>
        <v>67</v>
      </c>
      <c r="AV45" s="13">
        <f t="shared" si="18"/>
        <v>2.5</v>
      </c>
      <c r="AW45" s="24">
        <f t="shared" si="6"/>
        <v>27.5</v>
      </c>
      <c r="AX45" s="13">
        <f>AVERAGE(AX41:AX44)</f>
        <v>0.5</v>
      </c>
      <c r="AY45" s="13">
        <f>AVERAGE(AY41:AY44)</f>
        <v>31.25</v>
      </c>
      <c r="AZ45" s="13">
        <f>AVERAGE(AZ41:AZ44)</f>
        <v>66.5</v>
      </c>
      <c r="BA45" s="13">
        <f>AVERAGE(BA41:BA44)</f>
        <v>2</v>
      </c>
      <c r="BB45" s="24">
        <f t="shared" si="7"/>
        <v>29.25</v>
      </c>
      <c r="BC45" s="13">
        <f>AVERAGE(BC41:BC44)</f>
        <v>0.25</v>
      </c>
      <c r="BD45" s="13">
        <f>AVERAGE(BD41:BD44)</f>
        <v>78</v>
      </c>
      <c r="BE45" s="13">
        <f>AVERAGE(BE41:BE44)</f>
        <v>21.5</v>
      </c>
      <c r="BF45" s="13">
        <f>AVERAGE(BF41:BF44)</f>
        <v>0.5</v>
      </c>
      <c r="BG45" s="24">
        <f t="shared" si="8"/>
        <v>77.5</v>
      </c>
      <c r="BH45" s="13">
        <f aca="true" t="shared" si="19" ref="BH45:DU45">AVERAGE(BH41:BH44)</f>
        <v>0</v>
      </c>
      <c r="BI45" s="13">
        <f>AVERAGE(BI41:BI44)</f>
        <v>53</v>
      </c>
      <c r="BJ45" s="13">
        <f>AVERAGE(BJ41:BJ44)</f>
        <v>45.75</v>
      </c>
      <c r="BK45" s="13">
        <f>AVERAGE(BK41:BK44)</f>
        <v>1.5</v>
      </c>
      <c r="BL45" s="24">
        <f t="shared" si="9"/>
        <v>51.5</v>
      </c>
      <c r="BM45" s="13">
        <f>AVERAGE(BM41:BM44)</f>
        <v>0.25</v>
      </c>
      <c r="BN45" s="13"/>
      <c r="BO45" s="13"/>
      <c r="BP45" s="24">
        <f t="shared" si="19"/>
        <v>-8.75</v>
      </c>
      <c r="BQ45" s="13">
        <f t="shared" si="19"/>
        <v>34</v>
      </c>
      <c r="BR45" s="24">
        <f t="shared" si="19"/>
        <v>-15.5</v>
      </c>
      <c r="BS45" s="13">
        <f t="shared" si="19"/>
        <v>43.5</v>
      </c>
      <c r="BT45" s="24">
        <f t="shared" si="19"/>
        <v>-10.25</v>
      </c>
      <c r="BU45" s="13">
        <f t="shared" si="19"/>
        <v>42.25</v>
      </c>
      <c r="BV45" s="24">
        <f t="shared" si="19"/>
        <v>0.75</v>
      </c>
      <c r="BW45" s="13">
        <f t="shared" si="19"/>
        <v>20</v>
      </c>
      <c r="BX45" s="22" t="s">
        <v>1</v>
      </c>
      <c r="BY45" s="22" t="s">
        <v>1</v>
      </c>
      <c r="BZ45" s="24">
        <f t="shared" si="19"/>
        <v>2.75</v>
      </c>
      <c r="CA45" s="13">
        <f t="shared" si="19"/>
        <v>33</v>
      </c>
      <c r="CB45" s="21">
        <f t="shared" si="19"/>
        <v>-0.7092499999999999</v>
      </c>
      <c r="CC45" s="24">
        <f t="shared" si="19"/>
        <v>-23.75</v>
      </c>
      <c r="CD45" s="13">
        <f t="shared" si="19"/>
        <v>41.75</v>
      </c>
      <c r="CE45" s="21">
        <f t="shared" si="19"/>
        <v>-2.5</v>
      </c>
      <c r="CF45" s="24">
        <f t="shared" si="19"/>
        <v>-15.5</v>
      </c>
      <c r="CG45" s="13">
        <f t="shared" si="19"/>
        <v>40.25</v>
      </c>
      <c r="CH45" s="21">
        <f t="shared" si="19"/>
        <v>-1.5</v>
      </c>
      <c r="CI45" s="24">
        <f t="shared" si="19"/>
        <v>40.25</v>
      </c>
      <c r="CJ45" s="13">
        <f t="shared" si="19"/>
        <v>20.5</v>
      </c>
      <c r="CK45" s="21">
        <f t="shared" si="19"/>
        <v>1.58475</v>
      </c>
      <c r="CL45" s="22" t="s">
        <v>1</v>
      </c>
      <c r="CM45" s="22" t="s">
        <v>1</v>
      </c>
      <c r="CN45" s="22" t="s">
        <v>1</v>
      </c>
      <c r="CO45" s="24">
        <f t="shared" si="19"/>
        <v>7.5</v>
      </c>
      <c r="CP45" s="13">
        <f t="shared" si="19"/>
        <v>84.75</v>
      </c>
      <c r="CQ45" s="24">
        <f t="shared" si="19"/>
        <v>11.75</v>
      </c>
      <c r="CR45" s="13">
        <f t="shared" si="19"/>
        <v>78.25</v>
      </c>
      <c r="CS45" s="24">
        <f t="shared" si="19"/>
        <v>9</v>
      </c>
      <c r="CT45" s="13">
        <f t="shared" si="19"/>
        <v>81.25</v>
      </c>
      <c r="CU45" s="24">
        <f t="shared" si="19"/>
        <v>3.25</v>
      </c>
      <c r="CV45" s="13">
        <f t="shared" si="19"/>
        <v>93.25</v>
      </c>
      <c r="CW45" s="22" t="s">
        <v>1</v>
      </c>
      <c r="CX45" s="22" t="s">
        <v>1</v>
      </c>
      <c r="CY45" s="24">
        <f t="shared" si="19"/>
        <v>12.75</v>
      </c>
      <c r="CZ45" s="13">
        <f t="shared" si="19"/>
        <v>36.75</v>
      </c>
      <c r="DA45" s="24">
        <f t="shared" si="19"/>
        <v>10</v>
      </c>
      <c r="DB45" s="13">
        <f t="shared" si="19"/>
        <v>44</v>
      </c>
      <c r="DC45" s="24">
        <f t="shared" si="19"/>
        <v>12</v>
      </c>
      <c r="DD45" s="13">
        <f t="shared" si="19"/>
        <v>43.5</v>
      </c>
      <c r="DE45" s="24">
        <f t="shared" si="19"/>
        <v>15.75</v>
      </c>
      <c r="DF45" s="13">
        <f t="shared" si="19"/>
        <v>25.75</v>
      </c>
      <c r="DG45" s="22" t="s">
        <v>1</v>
      </c>
      <c r="DH45" s="22" t="s">
        <v>1</v>
      </c>
      <c r="DI45" s="24">
        <f t="shared" si="19"/>
        <v>9.5</v>
      </c>
      <c r="DJ45" s="13">
        <f t="shared" si="19"/>
        <v>45.25</v>
      </c>
      <c r="DK45" s="24">
        <f t="shared" si="19"/>
        <v>-0.25</v>
      </c>
      <c r="DL45" s="13">
        <f t="shared" si="19"/>
        <v>47.75</v>
      </c>
      <c r="DM45" s="24">
        <f t="shared" si="19"/>
        <v>3</v>
      </c>
      <c r="DN45" s="13">
        <f t="shared" si="19"/>
        <v>48.25</v>
      </c>
      <c r="DO45" s="24">
        <f t="shared" si="19"/>
        <v>23.75</v>
      </c>
      <c r="DP45" s="13">
        <f t="shared" si="19"/>
        <v>41</v>
      </c>
      <c r="DQ45" s="22" t="s">
        <v>1</v>
      </c>
      <c r="DR45" s="22" t="s">
        <v>1</v>
      </c>
      <c r="DS45" s="11">
        <f t="shared" si="19"/>
        <v>28.5</v>
      </c>
      <c r="DT45" s="11">
        <f t="shared" si="19"/>
        <v>69</v>
      </c>
      <c r="DU45" s="11">
        <f t="shared" si="19"/>
        <v>1.5</v>
      </c>
      <c r="DV45" s="24">
        <f t="shared" si="10"/>
        <v>27</v>
      </c>
      <c r="DW45" s="13">
        <f>AVERAGE(DW41:DW44)</f>
        <v>0.5</v>
      </c>
      <c r="DX45" s="13">
        <f>AVERAGE(DX41:DX44)</f>
        <v>31.75</v>
      </c>
      <c r="DY45" s="13">
        <f>AVERAGE(DY41:DY44)</f>
        <v>66.25</v>
      </c>
      <c r="DZ45" s="13">
        <f>AVERAGE(DZ41:DZ44)</f>
        <v>1.5</v>
      </c>
      <c r="EA45" s="24">
        <f t="shared" si="11"/>
        <v>30.25</v>
      </c>
      <c r="EB45" s="13">
        <f>AVERAGE(EB41:EB44)</f>
        <v>0.75</v>
      </c>
      <c r="EC45" s="13">
        <f>AVERAGE(EC41:EC44)</f>
        <v>68.5</v>
      </c>
      <c r="ED45" s="13">
        <f>AVERAGE(ED41:ED44)</f>
        <v>31</v>
      </c>
      <c r="EE45" s="13">
        <f>AVERAGE(EE41:EE44)</f>
        <v>0.75</v>
      </c>
      <c r="EF45" s="24">
        <f t="shared" si="12"/>
        <v>67.75</v>
      </c>
      <c r="EG45" s="13">
        <f>AVERAGE(EG41:EG44)</f>
        <v>0</v>
      </c>
      <c r="EH45" s="13">
        <f>AVERAGE(EH41:EH44)</f>
        <v>44.85584680381717</v>
      </c>
      <c r="EI45" s="13">
        <f>AVERAGE(EI41:EI44)</f>
        <v>53.49499746808519</v>
      </c>
      <c r="EJ45" s="13">
        <f>AVERAGE(EJ41:EJ44)</f>
        <v>1.1713181091711666</v>
      </c>
      <c r="EK45" s="24">
        <f t="shared" si="15"/>
        <v>43.684528694646005</v>
      </c>
      <c r="EL45" s="13">
        <f>AVERAGE(EL41:EL44)</f>
        <v>0.4778376189264767</v>
      </c>
      <c r="EM45" s="6" t="s">
        <v>1</v>
      </c>
      <c r="EN45" s="6" t="s">
        <v>1</v>
      </c>
      <c r="EO45" s="6" t="s">
        <v>1</v>
      </c>
      <c r="EP45" s="6" t="s">
        <v>1</v>
      </c>
      <c r="EQ45" s="6" t="s">
        <v>1</v>
      </c>
    </row>
    <row r="46" spans="1:147" ht="12">
      <c r="A46" s="1" t="s">
        <v>46</v>
      </c>
      <c r="B46" s="24">
        <f>27-44</f>
        <v>-17</v>
      </c>
      <c r="C46" s="8">
        <v>29</v>
      </c>
      <c r="D46" s="23">
        <f>12-43</f>
        <v>-31</v>
      </c>
      <c r="E46" s="8">
        <v>46</v>
      </c>
      <c r="F46" s="23">
        <f>14-41</f>
        <v>-27</v>
      </c>
      <c r="G46" s="8">
        <v>46</v>
      </c>
      <c r="H46" s="23">
        <f>43-45</f>
        <v>-2</v>
      </c>
      <c r="I46" s="8">
        <v>12</v>
      </c>
      <c r="J46" s="23">
        <f>47-21</f>
        <v>26</v>
      </c>
      <c r="K46" s="8">
        <v>32</v>
      </c>
      <c r="L46" s="20">
        <v>1.734</v>
      </c>
      <c r="M46" s="23">
        <f>20-28</f>
        <v>-8</v>
      </c>
      <c r="N46" s="8">
        <v>52</v>
      </c>
      <c r="O46" s="20">
        <v>-1.224</v>
      </c>
      <c r="P46" s="23">
        <f>20-33</f>
        <v>-13</v>
      </c>
      <c r="Q46" s="8">
        <v>47</v>
      </c>
      <c r="R46" s="20">
        <v>-0.939</v>
      </c>
      <c r="S46" s="23">
        <f>77-12</f>
        <v>65</v>
      </c>
      <c r="T46" s="8">
        <v>11</v>
      </c>
      <c r="U46" s="20">
        <v>4.821</v>
      </c>
      <c r="V46" s="23">
        <f>9-1</f>
        <v>8</v>
      </c>
      <c r="W46" s="10">
        <v>90</v>
      </c>
      <c r="X46" s="23">
        <f>15-2</f>
        <v>13</v>
      </c>
      <c r="Y46" s="10">
        <v>83</v>
      </c>
      <c r="Z46" s="23">
        <f>17-0</f>
        <v>17</v>
      </c>
      <c r="AA46" s="10">
        <v>83</v>
      </c>
      <c r="AB46" s="23">
        <f>2-1</f>
        <v>1</v>
      </c>
      <c r="AC46" s="10">
        <v>97</v>
      </c>
      <c r="AD46" s="23">
        <f>50-13</f>
        <v>37</v>
      </c>
      <c r="AE46" s="10">
        <v>37</v>
      </c>
      <c r="AF46" s="23">
        <f>33-11</f>
        <v>22</v>
      </c>
      <c r="AG46" s="10">
        <v>56</v>
      </c>
      <c r="AH46" s="23">
        <f>36-13</f>
        <v>23</v>
      </c>
      <c r="AI46" s="10">
        <v>51</v>
      </c>
      <c r="AJ46" s="23">
        <f>68-13</f>
        <v>55</v>
      </c>
      <c r="AK46" s="10">
        <v>19</v>
      </c>
      <c r="AL46" s="23">
        <f>38-11</f>
        <v>27</v>
      </c>
      <c r="AM46" s="10">
        <v>51</v>
      </c>
      <c r="AN46" s="23">
        <f>25-19</f>
        <v>6</v>
      </c>
      <c r="AO46" s="10">
        <v>56</v>
      </c>
      <c r="AP46" s="23">
        <f>29-13</f>
        <v>16</v>
      </c>
      <c r="AQ46" s="10">
        <v>58</v>
      </c>
      <c r="AR46" s="23">
        <f>51-4</f>
        <v>47</v>
      </c>
      <c r="AS46" s="10">
        <v>45</v>
      </c>
      <c r="AT46" s="12">
        <v>19</v>
      </c>
      <c r="AU46" s="12">
        <v>76</v>
      </c>
      <c r="AV46" s="12">
        <v>4</v>
      </c>
      <c r="AW46" s="24">
        <f t="shared" si="6"/>
        <v>15</v>
      </c>
      <c r="AX46" s="12">
        <v>1</v>
      </c>
      <c r="AY46" s="12">
        <v>31</v>
      </c>
      <c r="AZ46" s="12">
        <v>67</v>
      </c>
      <c r="BA46" s="12">
        <v>1</v>
      </c>
      <c r="BB46" s="24">
        <f t="shared" si="7"/>
        <v>30</v>
      </c>
      <c r="BC46" s="12">
        <v>1</v>
      </c>
      <c r="BD46" s="12">
        <v>78</v>
      </c>
      <c r="BE46" s="12">
        <v>21</v>
      </c>
      <c r="BF46" s="12">
        <v>0</v>
      </c>
      <c r="BG46" s="24">
        <f t="shared" si="8"/>
        <v>78</v>
      </c>
      <c r="BH46" s="12">
        <v>0</v>
      </c>
      <c r="BI46" s="8">
        <v>50</v>
      </c>
      <c r="BJ46" s="8">
        <v>48</v>
      </c>
      <c r="BK46" s="8">
        <v>2</v>
      </c>
      <c r="BL46" s="24">
        <f t="shared" si="9"/>
        <v>48</v>
      </c>
      <c r="BM46" s="8">
        <v>0</v>
      </c>
      <c r="BN46" s="8"/>
      <c r="BO46" s="8"/>
      <c r="BP46" s="24">
        <f>23-43</f>
        <v>-20</v>
      </c>
      <c r="BQ46" s="8">
        <v>34</v>
      </c>
      <c r="BR46" s="24">
        <f>13-44</f>
        <v>-31</v>
      </c>
      <c r="BS46" s="8">
        <v>43</v>
      </c>
      <c r="BT46" s="24">
        <f>15-43</f>
        <v>-28</v>
      </c>
      <c r="BU46" s="8">
        <v>42</v>
      </c>
      <c r="BV46" s="24">
        <f>38-41</f>
        <v>-3</v>
      </c>
      <c r="BW46" s="8">
        <v>21</v>
      </c>
      <c r="BX46" s="22" t="s">
        <v>1</v>
      </c>
      <c r="BY46" s="22" t="s">
        <v>1</v>
      </c>
      <c r="BZ46" s="24">
        <f>39-28</f>
        <v>11</v>
      </c>
      <c r="CA46" s="8">
        <v>33</v>
      </c>
      <c r="CB46" s="20">
        <v>0.278</v>
      </c>
      <c r="CC46" s="24">
        <f>22-35</f>
        <v>-13</v>
      </c>
      <c r="CD46" s="8">
        <v>43</v>
      </c>
      <c r="CE46" s="20">
        <v>-1.4</v>
      </c>
      <c r="CF46" s="24">
        <f>29-29</f>
        <v>0</v>
      </c>
      <c r="CG46" s="8">
        <v>41</v>
      </c>
      <c r="CH46" s="20">
        <v>-0.3</v>
      </c>
      <c r="CI46" s="24">
        <f>62-19</f>
        <v>43</v>
      </c>
      <c r="CJ46" s="8">
        <v>19</v>
      </c>
      <c r="CK46" s="20">
        <v>2.335</v>
      </c>
      <c r="CL46" s="22" t="s">
        <v>1</v>
      </c>
      <c r="CM46" s="22" t="s">
        <v>1</v>
      </c>
      <c r="CN46" s="22" t="s">
        <v>1</v>
      </c>
      <c r="CO46" s="24">
        <f>12-4</f>
        <v>8</v>
      </c>
      <c r="CP46" s="10">
        <v>84</v>
      </c>
      <c r="CQ46" s="24">
        <f>18-6</f>
        <v>12</v>
      </c>
      <c r="CR46" s="10">
        <v>76</v>
      </c>
      <c r="CS46" s="24">
        <f>14-4</f>
        <v>10</v>
      </c>
      <c r="CT46" s="10">
        <v>82</v>
      </c>
      <c r="CU46" s="24">
        <f>4-2</f>
        <v>2</v>
      </c>
      <c r="CV46" s="10">
        <v>93</v>
      </c>
      <c r="CW46" s="22" t="s">
        <v>1</v>
      </c>
      <c r="CX46" s="22" t="s">
        <v>1</v>
      </c>
      <c r="CY46" s="24">
        <f>46-17</f>
        <v>29</v>
      </c>
      <c r="CZ46" s="10">
        <v>37</v>
      </c>
      <c r="DA46" s="24">
        <f>40-15</f>
        <v>25</v>
      </c>
      <c r="DB46" s="10">
        <v>45</v>
      </c>
      <c r="DC46" s="24">
        <f>44-12</f>
        <v>32</v>
      </c>
      <c r="DD46" s="12">
        <v>44</v>
      </c>
      <c r="DE46" s="24">
        <f>55-20</f>
        <v>35</v>
      </c>
      <c r="DF46" s="12">
        <v>25</v>
      </c>
      <c r="DG46" s="22" t="s">
        <v>1</v>
      </c>
      <c r="DH46" s="22" t="s">
        <v>1</v>
      </c>
      <c r="DI46" s="24">
        <f>35-13</f>
        <v>22</v>
      </c>
      <c r="DJ46" s="12">
        <v>52</v>
      </c>
      <c r="DK46" s="24">
        <f>31-16</f>
        <v>15</v>
      </c>
      <c r="DL46" s="12">
        <v>53</v>
      </c>
      <c r="DM46" s="24">
        <f>32-13</f>
        <v>19</v>
      </c>
      <c r="DN46" s="12">
        <v>55</v>
      </c>
      <c r="DO46" s="24">
        <f>42-9</f>
        <v>33</v>
      </c>
      <c r="DP46" s="12">
        <v>49</v>
      </c>
      <c r="DQ46" s="22" t="s">
        <v>1</v>
      </c>
      <c r="DR46" s="22" t="s">
        <v>1</v>
      </c>
      <c r="DS46" s="12">
        <v>26</v>
      </c>
      <c r="DT46" s="12">
        <v>70</v>
      </c>
      <c r="DU46" s="12">
        <v>3</v>
      </c>
      <c r="DV46" s="24">
        <f t="shared" si="10"/>
        <v>23</v>
      </c>
      <c r="DW46" s="12">
        <v>0</v>
      </c>
      <c r="DX46" s="12">
        <v>31</v>
      </c>
      <c r="DY46" s="12">
        <v>66</v>
      </c>
      <c r="DZ46" s="12">
        <v>2</v>
      </c>
      <c r="EA46" s="24">
        <f t="shared" si="11"/>
        <v>29</v>
      </c>
      <c r="EB46" s="12">
        <v>0</v>
      </c>
      <c r="EC46" s="12">
        <v>71</v>
      </c>
      <c r="ED46" s="12">
        <v>28</v>
      </c>
      <c r="EE46" s="12">
        <v>0</v>
      </c>
      <c r="EF46" s="24">
        <f t="shared" si="12"/>
        <v>71</v>
      </c>
      <c r="EG46" s="12">
        <v>0</v>
      </c>
      <c r="EH46" s="8">
        <v>44.637145341313975</v>
      </c>
      <c r="EI46" s="8">
        <v>53.11049018213825</v>
      </c>
      <c r="EJ46" s="8">
        <v>1.9257106220757474</v>
      </c>
      <c r="EK46" s="24">
        <f t="shared" si="15"/>
        <v>42.71143471923823</v>
      </c>
      <c r="EL46" s="23">
        <v>0.3266538544720289</v>
      </c>
      <c r="EM46" s="6" t="s">
        <v>1</v>
      </c>
      <c r="EN46" s="6" t="s">
        <v>1</v>
      </c>
      <c r="EO46" s="6" t="s">
        <v>1</v>
      </c>
      <c r="EP46" s="6" t="s">
        <v>1</v>
      </c>
      <c r="EQ46" s="6" t="s">
        <v>1</v>
      </c>
    </row>
    <row r="47" spans="1:147" ht="12">
      <c r="A47" s="1" t="s">
        <v>36</v>
      </c>
      <c r="B47" s="24">
        <f>44-23</f>
        <v>21</v>
      </c>
      <c r="C47" s="8">
        <v>32</v>
      </c>
      <c r="D47" s="23">
        <f>28-25</f>
        <v>3</v>
      </c>
      <c r="E47" s="8">
        <v>47</v>
      </c>
      <c r="F47" s="23">
        <f>26-21</f>
        <v>5</v>
      </c>
      <c r="G47" s="8">
        <v>53</v>
      </c>
      <c r="H47" s="23">
        <f>63-23</f>
        <v>40</v>
      </c>
      <c r="I47" s="8">
        <v>14</v>
      </c>
      <c r="J47" s="23">
        <f>52-19</f>
        <v>33</v>
      </c>
      <c r="K47" s="8">
        <v>29</v>
      </c>
      <c r="L47" s="20">
        <v>2.023</v>
      </c>
      <c r="M47" s="23">
        <f>27-34</f>
        <v>-7</v>
      </c>
      <c r="N47" s="8">
        <v>38</v>
      </c>
      <c r="O47" s="20">
        <v>-1.593</v>
      </c>
      <c r="P47" s="23">
        <f>25-24</f>
        <v>1</v>
      </c>
      <c r="Q47" s="8">
        <v>50</v>
      </c>
      <c r="R47" s="20">
        <v>0.051</v>
      </c>
      <c r="S47" s="23">
        <f>79-7</f>
        <v>72</v>
      </c>
      <c r="T47" s="8">
        <v>14</v>
      </c>
      <c r="U47" s="20">
        <v>5.34</v>
      </c>
      <c r="V47" s="23">
        <f>11-4</f>
        <v>7</v>
      </c>
      <c r="W47" s="10">
        <v>85</v>
      </c>
      <c r="X47" s="23">
        <f>22-6</f>
        <v>16</v>
      </c>
      <c r="Y47" s="10">
        <v>71</v>
      </c>
      <c r="Z47" s="23">
        <f>13-4</f>
        <v>9</v>
      </c>
      <c r="AA47" s="10">
        <v>83</v>
      </c>
      <c r="AB47" s="23">
        <f>2-3</f>
        <v>-1</v>
      </c>
      <c r="AC47" s="10">
        <v>95</v>
      </c>
      <c r="AD47" s="23">
        <f>44-28</f>
        <v>16</v>
      </c>
      <c r="AE47" s="10">
        <v>28</v>
      </c>
      <c r="AF47" s="23">
        <f>25-35</f>
        <v>-10</v>
      </c>
      <c r="AG47" s="10">
        <v>40</v>
      </c>
      <c r="AH47" s="23">
        <f>27-32</f>
        <v>-5</v>
      </c>
      <c r="AI47" s="10">
        <v>40</v>
      </c>
      <c r="AJ47" s="23">
        <f>63-22</f>
        <v>41</v>
      </c>
      <c r="AK47" s="10">
        <v>15</v>
      </c>
      <c r="AL47" s="23">
        <f>34-24</f>
        <v>10</v>
      </c>
      <c r="AM47" s="10">
        <v>42</v>
      </c>
      <c r="AN47" s="23">
        <f>21-35</f>
        <v>-14</v>
      </c>
      <c r="AO47" s="10">
        <v>43</v>
      </c>
      <c r="AP47" s="23">
        <f>20-35</f>
        <v>-15</v>
      </c>
      <c r="AQ47" s="10">
        <v>45</v>
      </c>
      <c r="AR47" s="23">
        <f>48-11</f>
        <v>37</v>
      </c>
      <c r="AS47" s="10">
        <v>41</v>
      </c>
      <c r="AT47" s="12">
        <v>21</v>
      </c>
      <c r="AU47" s="12">
        <v>76</v>
      </c>
      <c r="AV47" s="12">
        <v>2</v>
      </c>
      <c r="AW47" s="24">
        <f aca="true" t="shared" si="20" ref="AW47:AW56">AT47-AV47</f>
        <v>19</v>
      </c>
      <c r="AX47" s="12">
        <v>2</v>
      </c>
      <c r="AY47" s="12">
        <v>32</v>
      </c>
      <c r="AZ47" s="12">
        <v>65</v>
      </c>
      <c r="BA47" s="12">
        <v>2</v>
      </c>
      <c r="BB47" s="24">
        <f t="shared" si="7"/>
        <v>30</v>
      </c>
      <c r="BC47" s="12">
        <v>0</v>
      </c>
      <c r="BD47" s="12">
        <v>82</v>
      </c>
      <c r="BE47" s="12">
        <v>18</v>
      </c>
      <c r="BF47" s="12">
        <v>0</v>
      </c>
      <c r="BG47" s="24">
        <f t="shared" si="8"/>
        <v>82</v>
      </c>
      <c r="BH47" s="12">
        <v>0</v>
      </c>
      <c r="BI47" s="8">
        <v>52</v>
      </c>
      <c r="BJ47" s="8">
        <v>46</v>
      </c>
      <c r="BK47" s="8">
        <v>1</v>
      </c>
      <c r="BL47" s="24">
        <f t="shared" si="9"/>
        <v>51</v>
      </c>
      <c r="BM47" s="8">
        <v>1</v>
      </c>
      <c r="BN47" s="8"/>
      <c r="BO47" s="8"/>
      <c r="BP47" s="24">
        <f>41-23</f>
        <v>18</v>
      </c>
      <c r="BQ47" s="8">
        <v>37</v>
      </c>
      <c r="BR47" s="24">
        <f>26-29</f>
        <v>-3</v>
      </c>
      <c r="BS47" s="8">
        <v>45</v>
      </c>
      <c r="BT47" s="24">
        <f>30-25</f>
        <v>5</v>
      </c>
      <c r="BU47" s="8">
        <v>45</v>
      </c>
      <c r="BV47" s="24">
        <f>62-14</f>
        <v>48</v>
      </c>
      <c r="BW47" s="8">
        <v>24</v>
      </c>
      <c r="BX47" s="22" t="s">
        <v>1</v>
      </c>
      <c r="BY47" s="22" t="s">
        <v>1</v>
      </c>
      <c r="BZ47" s="24">
        <f>40-26</f>
        <v>14</v>
      </c>
      <c r="CA47" s="8">
        <v>33</v>
      </c>
      <c r="CB47" s="20">
        <v>0.148</v>
      </c>
      <c r="CC47" s="24">
        <f>22-36</f>
        <v>-14</v>
      </c>
      <c r="CD47" s="8">
        <v>41</v>
      </c>
      <c r="CE47" s="20">
        <v>-2.1</v>
      </c>
      <c r="CF47" s="24">
        <f>27-29</f>
        <v>-2</v>
      </c>
      <c r="CG47" s="8">
        <v>44</v>
      </c>
      <c r="CH47" s="20">
        <v>-0.7</v>
      </c>
      <c r="CI47" s="24">
        <f>66-14</f>
        <v>52</v>
      </c>
      <c r="CJ47" s="8">
        <v>20</v>
      </c>
      <c r="CK47" s="20">
        <v>2.918</v>
      </c>
      <c r="CL47" s="22" t="s">
        <v>1</v>
      </c>
      <c r="CM47" s="22" t="s">
        <v>1</v>
      </c>
      <c r="CN47" s="22" t="s">
        <v>1</v>
      </c>
      <c r="CO47" s="24">
        <f>15-4</f>
        <v>11</v>
      </c>
      <c r="CP47" s="10">
        <v>81</v>
      </c>
      <c r="CQ47" s="24">
        <f>23-5</f>
        <v>18</v>
      </c>
      <c r="CR47" s="10">
        <v>71</v>
      </c>
      <c r="CS47" s="24">
        <f>17-5</f>
        <v>12</v>
      </c>
      <c r="CT47" s="10">
        <v>78</v>
      </c>
      <c r="CU47" s="24">
        <f>5-2</f>
        <v>3</v>
      </c>
      <c r="CV47" s="10">
        <v>94</v>
      </c>
      <c r="CW47" s="22" t="s">
        <v>1</v>
      </c>
      <c r="CX47" s="22" t="s">
        <v>1</v>
      </c>
      <c r="CY47" s="24">
        <f>39-27</f>
        <v>12</v>
      </c>
      <c r="CZ47" s="10">
        <v>33</v>
      </c>
      <c r="DA47" s="24">
        <f>32-27</f>
        <v>5</v>
      </c>
      <c r="DB47" s="10">
        <v>40</v>
      </c>
      <c r="DC47" s="24">
        <f>33-27</f>
        <v>6</v>
      </c>
      <c r="DD47" s="12">
        <v>40</v>
      </c>
      <c r="DE47" s="24">
        <f>50-27</f>
        <v>23</v>
      </c>
      <c r="DF47" s="12">
        <v>23</v>
      </c>
      <c r="DG47" s="22" t="s">
        <v>1</v>
      </c>
      <c r="DH47" s="22" t="s">
        <v>1</v>
      </c>
      <c r="DI47" s="24">
        <f>32-24</f>
        <v>8</v>
      </c>
      <c r="DJ47" s="12">
        <v>44</v>
      </c>
      <c r="DK47" s="24">
        <f>24-29</f>
        <v>-5</v>
      </c>
      <c r="DL47" s="12">
        <v>46</v>
      </c>
      <c r="DM47" s="24">
        <f>28-28</f>
        <v>0</v>
      </c>
      <c r="DN47" s="12">
        <v>44</v>
      </c>
      <c r="DO47" s="24">
        <f>42-16</f>
        <v>26</v>
      </c>
      <c r="DP47" s="12">
        <v>41</v>
      </c>
      <c r="DQ47" s="22" t="s">
        <v>1</v>
      </c>
      <c r="DR47" s="22" t="s">
        <v>1</v>
      </c>
      <c r="DS47" s="12">
        <v>24</v>
      </c>
      <c r="DT47" s="12">
        <v>70</v>
      </c>
      <c r="DU47" s="12">
        <v>5</v>
      </c>
      <c r="DV47" s="24">
        <f t="shared" si="10"/>
        <v>19</v>
      </c>
      <c r="DW47" s="12">
        <v>1</v>
      </c>
      <c r="DX47" s="12">
        <v>26</v>
      </c>
      <c r="DY47" s="12">
        <v>71</v>
      </c>
      <c r="DZ47" s="12">
        <v>2</v>
      </c>
      <c r="EA47" s="24">
        <f t="shared" si="11"/>
        <v>24</v>
      </c>
      <c r="EB47" s="12">
        <v>0</v>
      </c>
      <c r="EC47" s="12">
        <v>69</v>
      </c>
      <c r="ED47" s="12">
        <v>30</v>
      </c>
      <c r="EE47" s="12">
        <v>1</v>
      </c>
      <c r="EF47" s="24">
        <f t="shared" si="12"/>
        <v>68</v>
      </c>
      <c r="EG47" s="12">
        <v>0</v>
      </c>
      <c r="EH47" s="8">
        <v>41.94829084623097</v>
      </c>
      <c r="EI47" s="8">
        <v>54.84603822283006</v>
      </c>
      <c r="EJ47" s="8">
        <v>2.924106839877642</v>
      </c>
      <c r="EK47" s="24">
        <f t="shared" si="15"/>
        <v>39.02418400635332</v>
      </c>
      <c r="EL47" s="23">
        <v>0.28156409106132285</v>
      </c>
      <c r="EM47" s="6" t="s">
        <v>1</v>
      </c>
      <c r="EN47" s="6" t="s">
        <v>1</v>
      </c>
      <c r="EO47" s="6" t="s">
        <v>1</v>
      </c>
      <c r="EP47" s="6" t="s">
        <v>1</v>
      </c>
      <c r="EQ47" s="6" t="s">
        <v>1</v>
      </c>
    </row>
    <row r="48" spans="1:147" ht="12">
      <c r="A48" s="1" t="s">
        <v>32</v>
      </c>
      <c r="B48" s="24">
        <f>47-20</f>
        <v>27</v>
      </c>
      <c r="C48" s="8">
        <v>33</v>
      </c>
      <c r="D48" s="23">
        <f>20-35</f>
        <v>-15</v>
      </c>
      <c r="E48" s="8">
        <v>45</v>
      </c>
      <c r="F48" s="23">
        <f>24-30</f>
        <v>-6</v>
      </c>
      <c r="G48" s="8">
        <v>46</v>
      </c>
      <c r="H48" s="23">
        <f>76-5</f>
        <v>71</v>
      </c>
      <c r="I48" s="8">
        <v>19</v>
      </c>
      <c r="J48" s="23">
        <f>48-24</f>
        <v>24</v>
      </c>
      <c r="K48" s="8">
        <v>28</v>
      </c>
      <c r="L48" s="20">
        <v>1.891</v>
      </c>
      <c r="M48" s="23">
        <f>19-37</f>
        <v>-18</v>
      </c>
      <c r="N48" s="8">
        <v>44</v>
      </c>
      <c r="O48" s="20">
        <v>-2.114</v>
      </c>
      <c r="P48" s="23">
        <f>32-27</f>
        <v>5</v>
      </c>
      <c r="Q48" s="8">
        <v>41</v>
      </c>
      <c r="R48" s="20">
        <v>-0.492</v>
      </c>
      <c r="S48" s="23">
        <f>75-13</f>
        <v>62</v>
      </c>
      <c r="T48" s="8">
        <v>11</v>
      </c>
      <c r="U48" s="20">
        <v>5.635</v>
      </c>
      <c r="V48" s="23">
        <f>7-2</f>
        <v>5</v>
      </c>
      <c r="W48" s="10">
        <v>92</v>
      </c>
      <c r="X48" s="23">
        <f>11-4</f>
        <v>7</v>
      </c>
      <c r="Y48" s="10">
        <v>85</v>
      </c>
      <c r="Z48" s="23">
        <f>10-3</f>
        <v>7</v>
      </c>
      <c r="AA48" s="10">
        <v>87</v>
      </c>
      <c r="AB48" s="23">
        <f>2-0</f>
        <v>2</v>
      </c>
      <c r="AC48" s="10">
        <v>98</v>
      </c>
      <c r="AD48" s="23">
        <f>63-13</f>
        <v>50</v>
      </c>
      <c r="AE48" s="10">
        <v>25</v>
      </c>
      <c r="AF48" s="23">
        <f>53-15</f>
        <v>38</v>
      </c>
      <c r="AG48" s="10">
        <v>32</v>
      </c>
      <c r="AH48" s="23">
        <f>49-15</f>
        <v>34</v>
      </c>
      <c r="AI48" s="10">
        <v>36</v>
      </c>
      <c r="AJ48" s="23">
        <f>74-10</f>
        <v>64</v>
      </c>
      <c r="AK48" s="10">
        <v>16</v>
      </c>
      <c r="AL48" s="23">
        <f>56-9</f>
        <v>47</v>
      </c>
      <c r="AM48" s="10">
        <v>35</v>
      </c>
      <c r="AN48" s="23">
        <f>43-16</f>
        <v>27</v>
      </c>
      <c r="AO48" s="10">
        <v>41</v>
      </c>
      <c r="AP48" s="23">
        <f>43-15</f>
        <v>28</v>
      </c>
      <c r="AQ48" s="10">
        <v>42</v>
      </c>
      <c r="AR48" s="23">
        <f>70-3</f>
        <v>67</v>
      </c>
      <c r="AS48" s="10">
        <v>28</v>
      </c>
      <c r="AT48" s="12">
        <v>20</v>
      </c>
      <c r="AU48" s="12">
        <v>77</v>
      </c>
      <c r="AV48" s="12">
        <v>2</v>
      </c>
      <c r="AW48" s="24">
        <f t="shared" si="20"/>
        <v>18</v>
      </c>
      <c r="AX48" s="12">
        <v>1</v>
      </c>
      <c r="AY48" s="12">
        <v>32</v>
      </c>
      <c r="AZ48" s="12">
        <v>66</v>
      </c>
      <c r="BA48" s="12">
        <v>1</v>
      </c>
      <c r="BB48" s="24">
        <f t="shared" si="7"/>
        <v>31</v>
      </c>
      <c r="BC48" s="12">
        <v>1</v>
      </c>
      <c r="BD48" s="12">
        <v>79</v>
      </c>
      <c r="BE48" s="12">
        <v>19</v>
      </c>
      <c r="BF48" s="12">
        <v>1</v>
      </c>
      <c r="BG48" s="24">
        <f t="shared" si="8"/>
        <v>78</v>
      </c>
      <c r="BH48" s="12">
        <v>1</v>
      </c>
      <c r="BI48" s="8">
        <v>51</v>
      </c>
      <c r="BJ48" s="8">
        <v>47</v>
      </c>
      <c r="BK48" s="8">
        <v>1</v>
      </c>
      <c r="BL48" s="24">
        <f t="shared" si="9"/>
        <v>50</v>
      </c>
      <c r="BM48" s="8">
        <v>1</v>
      </c>
      <c r="BN48" s="8"/>
      <c r="BO48" s="8"/>
      <c r="BP48" s="24">
        <f>40-24</f>
        <v>16</v>
      </c>
      <c r="BQ48" s="8">
        <v>35</v>
      </c>
      <c r="BR48" s="24">
        <f>20-34</f>
        <v>-14</v>
      </c>
      <c r="BS48" s="8">
        <v>46</v>
      </c>
      <c r="BT48" s="24">
        <f>24-31</f>
        <v>-7</v>
      </c>
      <c r="BU48" s="8">
        <v>45</v>
      </c>
      <c r="BV48" s="24">
        <f>70-10</f>
        <v>60</v>
      </c>
      <c r="BW48" s="8">
        <v>20</v>
      </c>
      <c r="BX48" s="22" t="s">
        <v>1</v>
      </c>
      <c r="BY48" s="22" t="s">
        <v>1</v>
      </c>
      <c r="BZ48" s="24">
        <f>42-23</f>
        <v>19</v>
      </c>
      <c r="CA48" s="8">
        <v>36</v>
      </c>
      <c r="CB48" s="20">
        <v>0.361</v>
      </c>
      <c r="CC48" s="24">
        <f>22-31</f>
        <v>-9</v>
      </c>
      <c r="CD48" s="8">
        <v>47</v>
      </c>
      <c r="CE48" s="20">
        <v>-1.8</v>
      </c>
      <c r="CF48" s="24">
        <f>29-28</f>
        <v>1</v>
      </c>
      <c r="CG48" s="8">
        <v>43</v>
      </c>
      <c r="CH48" s="20">
        <v>-0.6</v>
      </c>
      <c r="CI48" s="24">
        <f>70-11</f>
        <v>59</v>
      </c>
      <c r="CJ48" s="8">
        <v>20</v>
      </c>
      <c r="CK48" s="20">
        <v>3.174</v>
      </c>
      <c r="CL48" s="22" t="s">
        <v>1</v>
      </c>
      <c r="CM48" s="22" t="s">
        <v>1</v>
      </c>
      <c r="CN48" s="22" t="s">
        <v>1</v>
      </c>
      <c r="CO48" s="24">
        <f>13-5</f>
        <v>8</v>
      </c>
      <c r="CP48" s="10">
        <v>82</v>
      </c>
      <c r="CQ48" s="24">
        <f>20-7</f>
        <v>13</v>
      </c>
      <c r="CR48" s="10">
        <v>74</v>
      </c>
      <c r="CS48" s="24">
        <f>17-4</f>
        <v>13</v>
      </c>
      <c r="CT48" s="10">
        <v>79</v>
      </c>
      <c r="CU48" s="24">
        <f>5-3</f>
        <v>2</v>
      </c>
      <c r="CV48" s="10">
        <v>92</v>
      </c>
      <c r="CW48" s="22" t="s">
        <v>1</v>
      </c>
      <c r="CX48" s="22" t="s">
        <v>1</v>
      </c>
      <c r="CY48" s="24">
        <f>54-17</f>
        <v>37</v>
      </c>
      <c r="CZ48" s="10">
        <v>29</v>
      </c>
      <c r="DA48" s="24">
        <f>46-17</f>
        <v>29</v>
      </c>
      <c r="DB48" s="10">
        <v>38</v>
      </c>
      <c r="DC48" s="24">
        <f>51-14</f>
        <v>37</v>
      </c>
      <c r="DD48" s="12">
        <v>35</v>
      </c>
      <c r="DE48" s="24">
        <f>64-20</f>
        <v>44</v>
      </c>
      <c r="DF48" s="12">
        <v>16</v>
      </c>
      <c r="DG48" s="22" t="s">
        <v>1</v>
      </c>
      <c r="DH48" s="22" t="s">
        <v>1</v>
      </c>
      <c r="DI48" s="24">
        <f>46-14</f>
        <v>32</v>
      </c>
      <c r="DJ48" s="12">
        <v>41</v>
      </c>
      <c r="DK48" s="24">
        <f>39-19</f>
        <v>20</v>
      </c>
      <c r="DL48" s="12">
        <v>43</v>
      </c>
      <c r="DM48" s="24">
        <f>41-15</f>
        <v>26</v>
      </c>
      <c r="DN48" s="12">
        <v>44</v>
      </c>
      <c r="DO48" s="24">
        <f>56-7</f>
        <v>49</v>
      </c>
      <c r="DP48" s="12">
        <v>37</v>
      </c>
      <c r="DQ48" s="22" t="s">
        <v>1</v>
      </c>
      <c r="DR48" s="22" t="s">
        <v>1</v>
      </c>
      <c r="DS48" s="12">
        <v>29</v>
      </c>
      <c r="DT48" s="12">
        <v>67</v>
      </c>
      <c r="DU48" s="12">
        <v>3</v>
      </c>
      <c r="DV48" s="24">
        <f t="shared" si="10"/>
        <v>26</v>
      </c>
      <c r="DW48" s="12">
        <v>1</v>
      </c>
      <c r="DX48" s="12">
        <v>30</v>
      </c>
      <c r="DY48" s="12">
        <v>67</v>
      </c>
      <c r="DZ48" s="12">
        <v>3</v>
      </c>
      <c r="EA48" s="24">
        <f t="shared" si="11"/>
        <v>27</v>
      </c>
      <c r="EB48" s="17">
        <v>0</v>
      </c>
      <c r="EC48" s="12">
        <v>69</v>
      </c>
      <c r="ED48" s="12">
        <v>30</v>
      </c>
      <c r="EE48" s="12">
        <v>1</v>
      </c>
      <c r="EF48" s="24">
        <f t="shared" si="12"/>
        <v>68</v>
      </c>
      <c r="EG48" s="12">
        <v>0</v>
      </c>
      <c r="EH48" s="8">
        <v>44.937925459436485</v>
      </c>
      <c r="EI48" s="8">
        <v>52.44915424457246</v>
      </c>
      <c r="EJ48" s="8">
        <v>2.308956412768282</v>
      </c>
      <c r="EK48" s="24">
        <f t="shared" si="15"/>
        <v>42.6289690466682</v>
      </c>
      <c r="EL48" s="23">
        <v>0.3039638832227744</v>
      </c>
      <c r="EM48" s="6" t="s">
        <v>1</v>
      </c>
      <c r="EN48" s="6" t="s">
        <v>1</v>
      </c>
      <c r="EO48" s="6" t="s">
        <v>1</v>
      </c>
      <c r="EP48" s="6" t="s">
        <v>1</v>
      </c>
      <c r="EQ48" s="6" t="s">
        <v>1</v>
      </c>
    </row>
    <row r="49" spans="1:147" ht="12">
      <c r="A49" s="1" t="s">
        <v>33</v>
      </c>
      <c r="B49" s="24">
        <f>50-23</f>
        <v>27</v>
      </c>
      <c r="C49" s="8">
        <v>27</v>
      </c>
      <c r="D49" s="23">
        <f>32-24</f>
        <v>8</v>
      </c>
      <c r="E49" s="8">
        <v>44</v>
      </c>
      <c r="F49" s="23">
        <f>41-20</f>
        <v>21</v>
      </c>
      <c r="G49" s="8">
        <v>40</v>
      </c>
      <c r="H49" s="23">
        <f>67-23</f>
        <v>44</v>
      </c>
      <c r="I49" s="8">
        <v>11</v>
      </c>
      <c r="J49" s="23">
        <f>46-21</f>
        <v>25</v>
      </c>
      <c r="K49" s="8">
        <v>33</v>
      </c>
      <c r="L49" s="20">
        <v>1.013</v>
      </c>
      <c r="M49" s="23">
        <f>19-34</f>
        <v>-15</v>
      </c>
      <c r="N49" s="8">
        <v>47</v>
      </c>
      <c r="O49" s="20">
        <v>-1.94</v>
      </c>
      <c r="P49" s="23">
        <f>27-24</f>
        <v>3</v>
      </c>
      <c r="Q49" s="8">
        <v>49</v>
      </c>
      <c r="R49" s="20">
        <v>-0.004</v>
      </c>
      <c r="S49" s="23">
        <f>72-12</f>
        <v>60</v>
      </c>
      <c r="T49" s="8">
        <v>17</v>
      </c>
      <c r="U49" s="20">
        <v>3.511</v>
      </c>
      <c r="V49" s="23">
        <f>8-3</f>
        <v>5</v>
      </c>
      <c r="W49" s="10">
        <v>89</v>
      </c>
      <c r="X49" s="23">
        <f>13-5</f>
        <v>8</v>
      </c>
      <c r="Y49" s="10">
        <v>81</v>
      </c>
      <c r="Z49" s="23">
        <f>12-5</f>
        <v>7</v>
      </c>
      <c r="AA49" s="10">
        <v>83</v>
      </c>
      <c r="AB49" s="23">
        <f>2-1</f>
        <v>1</v>
      </c>
      <c r="AC49" s="10">
        <v>97</v>
      </c>
      <c r="AD49" s="23">
        <f>35-29</f>
        <v>6</v>
      </c>
      <c r="AE49" s="10">
        <v>37</v>
      </c>
      <c r="AF49" s="23">
        <f>9-36</f>
        <v>-27</v>
      </c>
      <c r="AG49" s="10">
        <v>54</v>
      </c>
      <c r="AH49" s="23">
        <f>16-36</f>
        <v>-20</v>
      </c>
      <c r="AI49" s="10">
        <v>48</v>
      </c>
      <c r="AJ49" s="23">
        <f>59-21</f>
        <v>38</v>
      </c>
      <c r="AK49" s="10">
        <v>19</v>
      </c>
      <c r="AL49" s="23">
        <f>32-22</f>
        <v>10</v>
      </c>
      <c r="AM49" s="10">
        <v>46</v>
      </c>
      <c r="AN49" s="23">
        <f>7-32</f>
        <v>-25</v>
      </c>
      <c r="AO49" s="10">
        <v>61</v>
      </c>
      <c r="AP49" s="23">
        <f>14-33</f>
        <v>-19</v>
      </c>
      <c r="AQ49" s="10">
        <v>53</v>
      </c>
      <c r="AR49" s="23">
        <f>57-11</f>
        <v>46</v>
      </c>
      <c r="AS49" s="10">
        <v>32</v>
      </c>
      <c r="AT49" s="12">
        <v>23</v>
      </c>
      <c r="AU49" s="12">
        <v>70</v>
      </c>
      <c r="AV49" s="12">
        <v>5</v>
      </c>
      <c r="AW49" s="24">
        <f t="shared" si="20"/>
        <v>18</v>
      </c>
      <c r="AX49" s="12">
        <v>1</v>
      </c>
      <c r="AY49" s="12">
        <v>28</v>
      </c>
      <c r="AZ49" s="12">
        <v>70</v>
      </c>
      <c r="BA49" s="12">
        <v>1</v>
      </c>
      <c r="BB49" s="24">
        <f t="shared" si="7"/>
        <v>27</v>
      </c>
      <c r="BC49" s="12">
        <v>0</v>
      </c>
      <c r="BD49" s="12">
        <v>75</v>
      </c>
      <c r="BE49" s="12">
        <v>25</v>
      </c>
      <c r="BF49" s="12">
        <v>0</v>
      </c>
      <c r="BG49" s="24">
        <f t="shared" si="8"/>
        <v>75</v>
      </c>
      <c r="BH49" s="12">
        <v>0</v>
      </c>
      <c r="BI49" s="8">
        <v>49</v>
      </c>
      <c r="BJ49" s="8">
        <v>48</v>
      </c>
      <c r="BK49" s="8">
        <v>2</v>
      </c>
      <c r="BL49" s="24">
        <f t="shared" si="9"/>
        <v>47</v>
      </c>
      <c r="BM49" s="8">
        <v>0</v>
      </c>
      <c r="BN49" s="8"/>
      <c r="BO49" s="8"/>
      <c r="BP49" s="24">
        <f>46-21</f>
        <v>25</v>
      </c>
      <c r="BQ49" s="8">
        <v>33</v>
      </c>
      <c r="BR49" s="24">
        <f>32-22</f>
        <v>10</v>
      </c>
      <c r="BS49" s="8">
        <v>46</v>
      </c>
      <c r="BT49" s="24">
        <f>38-21</f>
        <v>17</v>
      </c>
      <c r="BU49" s="8">
        <v>41</v>
      </c>
      <c r="BV49" s="24">
        <f>64-20</f>
        <v>44</v>
      </c>
      <c r="BW49" s="8">
        <v>16</v>
      </c>
      <c r="BX49" s="22" t="s">
        <v>1</v>
      </c>
      <c r="BY49" s="22" t="s">
        <v>1</v>
      </c>
      <c r="BZ49" s="24">
        <f>41-24</f>
        <v>17</v>
      </c>
      <c r="CA49" s="8">
        <v>34</v>
      </c>
      <c r="CB49" s="20">
        <v>0.415</v>
      </c>
      <c r="CC49" s="24">
        <f>22-35</f>
        <v>-13</v>
      </c>
      <c r="CD49" s="8">
        <v>43</v>
      </c>
      <c r="CE49" s="20">
        <v>-1.6</v>
      </c>
      <c r="CF49" s="24">
        <f>25-31</f>
        <v>-6</v>
      </c>
      <c r="CG49" s="8">
        <v>44</v>
      </c>
      <c r="CH49" s="20">
        <v>-0.7</v>
      </c>
      <c r="CI49" s="24">
        <f>69-11</f>
        <v>58</v>
      </c>
      <c r="CJ49" s="8">
        <v>20</v>
      </c>
      <c r="CK49" s="20">
        <v>3.164</v>
      </c>
      <c r="CL49" s="22" t="s">
        <v>1</v>
      </c>
      <c r="CM49" s="22" t="s">
        <v>1</v>
      </c>
      <c r="CN49" s="22" t="s">
        <v>1</v>
      </c>
      <c r="CO49" s="24">
        <f>13-4</f>
        <v>9</v>
      </c>
      <c r="CP49" s="10">
        <v>84</v>
      </c>
      <c r="CQ49" s="24">
        <f>18-5</f>
        <v>13</v>
      </c>
      <c r="CR49" s="10">
        <v>77</v>
      </c>
      <c r="CS49" s="24">
        <f>16-4</f>
        <v>12</v>
      </c>
      <c r="CT49" s="10">
        <v>80</v>
      </c>
      <c r="CU49" s="24">
        <f>5-2</f>
        <v>3</v>
      </c>
      <c r="CV49" s="10">
        <v>93</v>
      </c>
      <c r="CW49" s="22" t="s">
        <v>1</v>
      </c>
      <c r="CX49" s="22" t="s">
        <v>1</v>
      </c>
      <c r="CY49" s="24">
        <f>26-33</f>
        <v>-7</v>
      </c>
      <c r="CZ49" s="10">
        <v>42</v>
      </c>
      <c r="DA49" s="24">
        <f>17-32</f>
        <v>-15</v>
      </c>
      <c r="DB49" s="10">
        <v>52</v>
      </c>
      <c r="DC49" s="24">
        <f>20-32</f>
        <v>-12</v>
      </c>
      <c r="DD49" s="12">
        <v>49</v>
      </c>
      <c r="DE49" s="24">
        <f>39-34</f>
        <v>5</v>
      </c>
      <c r="DF49" s="12">
        <v>27</v>
      </c>
      <c r="DG49" s="22" t="s">
        <v>1</v>
      </c>
      <c r="DH49" s="22" t="s">
        <v>1</v>
      </c>
      <c r="DI49" s="24">
        <f>22-26</f>
        <v>-4</v>
      </c>
      <c r="DJ49" s="12">
        <v>53</v>
      </c>
      <c r="DK49" s="24">
        <f>14-30</f>
        <v>-16</v>
      </c>
      <c r="DL49" s="12">
        <v>56</v>
      </c>
      <c r="DM49" s="24">
        <f>16-29</f>
        <v>-13</v>
      </c>
      <c r="DN49" s="12">
        <v>55</v>
      </c>
      <c r="DO49" s="24">
        <f>33-20</f>
        <v>13</v>
      </c>
      <c r="DP49" s="12">
        <v>47</v>
      </c>
      <c r="DQ49" s="22" t="s">
        <v>1</v>
      </c>
      <c r="DR49" s="22" t="s">
        <v>1</v>
      </c>
      <c r="DS49" s="12">
        <v>26</v>
      </c>
      <c r="DT49" s="12">
        <v>70</v>
      </c>
      <c r="DU49" s="12">
        <v>3</v>
      </c>
      <c r="DV49" s="24">
        <f t="shared" si="10"/>
        <v>23</v>
      </c>
      <c r="DW49" s="12">
        <v>1</v>
      </c>
      <c r="DX49" s="12">
        <v>31</v>
      </c>
      <c r="DY49" s="12">
        <v>66</v>
      </c>
      <c r="DZ49" s="12">
        <v>2</v>
      </c>
      <c r="EA49" s="24">
        <f t="shared" si="11"/>
        <v>29</v>
      </c>
      <c r="EB49" s="17">
        <v>1</v>
      </c>
      <c r="EC49" s="12">
        <v>66</v>
      </c>
      <c r="ED49" s="12">
        <v>33</v>
      </c>
      <c r="EE49" s="12">
        <v>1</v>
      </c>
      <c r="EF49" s="24">
        <f t="shared" si="12"/>
        <v>65</v>
      </c>
      <c r="EG49" s="12">
        <v>0</v>
      </c>
      <c r="EH49" s="8">
        <v>42.71519103813634</v>
      </c>
      <c r="EI49" s="8">
        <v>54.51496142167546</v>
      </c>
      <c r="EJ49" s="8">
        <v>1.9454368436459732</v>
      </c>
      <c r="EK49" s="24">
        <f t="shared" si="15"/>
        <v>40.76975419449037</v>
      </c>
      <c r="EL49" s="23">
        <v>0.8244106965422354</v>
      </c>
      <c r="EM49" s="6" t="s">
        <v>1</v>
      </c>
      <c r="EN49" s="6" t="s">
        <v>1</v>
      </c>
      <c r="EO49" s="6" t="s">
        <v>1</v>
      </c>
      <c r="EP49" s="6" t="s">
        <v>1</v>
      </c>
      <c r="EQ49" s="6" t="s">
        <v>1</v>
      </c>
    </row>
    <row r="50" spans="1:147" ht="12">
      <c r="A50" s="1" t="s">
        <v>47</v>
      </c>
      <c r="B50" s="24">
        <f aca="true" t="shared" si="21" ref="B50:AV50">AVERAGE(B46:B49)</f>
        <v>14.5</v>
      </c>
      <c r="C50" s="13">
        <f t="shared" si="21"/>
        <v>30.25</v>
      </c>
      <c r="D50" s="24">
        <f t="shared" si="21"/>
        <v>-8.75</v>
      </c>
      <c r="E50" s="13">
        <f t="shared" si="21"/>
        <v>45.5</v>
      </c>
      <c r="F50" s="24">
        <f t="shared" si="21"/>
        <v>-1.75</v>
      </c>
      <c r="G50" s="13">
        <f t="shared" si="21"/>
        <v>46.25</v>
      </c>
      <c r="H50" s="24">
        <f t="shared" si="21"/>
        <v>38.25</v>
      </c>
      <c r="I50" s="13">
        <f t="shared" si="21"/>
        <v>14</v>
      </c>
      <c r="J50" s="24">
        <f t="shared" si="21"/>
        <v>27</v>
      </c>
      <c r="K50" s="13">
        <f t="shared" si="21"/>
        <v>30.5</v>
      </c>
      <c r="L50" s="21">
        <f t="shared" si="21"/>
        <v>1.66525</v>
      </c>
      <c r="M50" s="24">
        <f t="shared" si="21"/>
        <v>-12</v>
      </c>
      <c r="N50" s="13">
        <f t="shared" si="21"/>
        <v>45.25</v>
      </c>
      <c r="O50" s="21">
        <f t="shared" si="21"/>
        <v>-1.71775</v>
      </c>
      <c r="P50" s="24">
        <f t="shared" si="21"/>
        <v>-1</v>
      </c>
      <c r="Q50" s="13">
        <f t="shared" si="21"/>
        <v>46.75</v>
      </c>
      <c r="R50" s="21">
        <f t="shared" si="21"/>
        <v>-0.346</v>
      </c>
      <c r="S50" s="24">
        <f t="shared" si="21"/>
        <v>64.75</v>
      </c>
      <c r="T50" s="13">
        <f t="shared" si="21"/>
        <v>13.25</v>
      </c>
      <c r="U50" s="21">
        <f t="shared" si="21"/>
        <v>4.82675</v>
      </c>
      <c r="V50" s="24">
        <f t="shared" si="21"/>
        <v>6.25</v>
      </c>
      <c r="W50" s="13">
        <f t="shared" si="21"/>
        <v>89</v>
      </c>
      <c r="X50" s="24">
        <f t="shared" si="21"/>
        <v>11</v>
      </c>
      <c r="Y50" s="13">
        <f t="shared" si="21"/>
        <v>80</v>
      </c>
      <c r="Z50" s="24">
        <f t="shared" si="21"/>
        <v>10</v>
      </c>
      <c r="AA50" s="13">
        <f t="shared" si="21"/>
        <v>84</v>
      </c>
      <c r="AB50" s="24">
        <f t="shared" si="21"/>
        <v>0.75</v>
      </c>
      <c r="AC50" s="13">
        <f t="shared" si="21"/>
        <v>96.75</v>
      </c>
      <c r="AD50" s="24">
        <f t="shared" si="21"/>
        <v>27.25</v>
      </c>
      <c r="AE50" s="13">
        <f t="shared" si="21"/>
        <v>31.75</v>
      </c>
      <c r="AF50" s="24">
        <f t="shared" si="21"/>
        <v>5.75</v>
      </c>
      <c r="AG50" s="13">
        <f t="shared" si="21"/>
        <v>45.5</v>
      </c>
      <c r="AH50" s="24">
        <f t="shared" si="21"/>
        <v>8</v>
      </c>
      <c r="AI50" s="13">
        <f t="shared" si="21"/>
        <v>43.75</v>
      </c>
      <c r="AJ50" s="24">
        <f t="shared" si="21"/>
        <v>49.5</v>
      </c>
      <c r="AK50" s="13">
        <f t="shared" si="21"/>
        <v>17.25</v>
      </c>
      <c r="AL50" s="24">
        <f t="shared" si="21"/>
        <v>23.5</v>
      </c>
      <c r="AM50" s="13">
        <f t="shared" si="21"/>
        <v>43.5</v>
      </c>
      <c r="AN50" s="24">
        <f t="shared" si="21"/>
        <v>-1.5</v>
      </c>
      <c r="AO50" s="13">
        <f t="shared" si="21"/>
        <v>50.25</v>
      </c>
      <c r="AP50" s="24">
        <f t="shared" si="21"/>
        <v>2.5</v>
      </c>
      <c r="AQ50" s="13">
        <f t="shared" si="21"/>
        <v>49.5</v>
      </c>
      <c r="AR50" s="24">
        <f t="shared" si="21"/>
        <v>49.25</v>
      </c>
      <c r="AS50" s="13">
        <f t="shared" si="21"/>
        <v>36.5</v>
      </c>
      <c r="AT50" s="13">
        <f t="shared" si="21"/>
        <v>20.75</v>
      </c>
      <c r="AU50" s="13">
        <f t="shared" si="21"/>
        <v>74.75</v>
      </c>
      <c r="AV50" s="13">
        <f t="shared" si="21"/>
        <v>3.25</v>
      </c>
      <c r="AW50" s="24">
        <f t="shared" si="20"/>
        <v>17.5</v>
      </c>
      <c r="AX50" s="13">
        <f>AVERAGE(AX46:AX49)</f>
        <v>1.25</v>
      </c>
      <c r="AY50" s="13">
        <f>AVERAGE(AY46:AY49)</f>
        <v>30.75</v>
      </c>
      <c r="AZ50" s="13">
        <f>AVERAGE(AZ46:AZ49)</f>
        <v>67</v>
      </c>
      <c r="BA50" s="13">
        <f>AVERAGE(BA46:BA49)</f>
        <v>1.25</v>
      </c>
      <c r="BB50" s="24">
        <f t="shared" si="7"/>
        <v>29.5</v>
      </c>
      <c r="BC50" s="13">
        <f>AVERAGE(BC46:BC49)</f>
        <v>0.5</v>
      </c>
      <c r="BD50" s="13">
        <f>AVERAGE(BD46:BD49)</f>
        <v>78.5</v>
      </c>
      <c r="BE50" s="13">
        <f>AVERAGE(BE46:BE49)</f>
        <v>20.75</v>
      </c>
      <c r="BF50" s="13">
        <f>AVERAGE(BF46:BF49)</f>
        <v>0.25</v>
      </c>
      <c r="BG50" s="24">
        <f t="shared" si="8"/>
        <v>78.25</v>
      </c>
      <c r="BH50" s="13">
        <f aca="true" t="shared" si="22" ref="BH50:DU50">AVERAGE(BH46:BH49)</f>
        <v>0.25</v>
      </c>
      <c r="BI50" s="13">
        <f>AVERAGE(BI46:BI49)</f>
        <v>50.5</v>
      </c>
      <c r="BJ50" s="13">
        <f>AVERAGE(BJ46:BJ49)</f>
        <v>47.25</v>
      </c>
      <c r="BK50" s="13">
        <f>AVERAGE(BK46:BK49)</f>
        <v>1.5</v>
      </c>
      <c r="BL50" s="24">
        <f t="shared" si="9"/>
        <v>49</v>
      </c>
      <c r="BM50" s="13">
        <f>AVERAGE(BM46:BM49)</f>
        <v>0.5</v>
      </c>
      <c r="BN50" s="13"/>
      <c r="BO50" s="13"/>
      <c r="BP50" s="24">
        <f t="shared" si="22"/>
        <v>9.75</v>
      </c>
      <c r="BQ50" s="13">
        <f t="shared" si="22"/>
        <v>34.75</v>
      </c>
      <c r="BR50" s="24">
        <f t="shared" si="22"/>
        <v>-9.5</v>
      </c>
      <c r="BS50" s="13">
        <f t="shared" si="22"/>
        <v>45</v>
      </c>
      <c r="BT50" s="24">
        <f t="shared" si="22"/>
        <v>-3.25</v>
      </c>
      <c r="BU50" s="13">
        <f t="shared" si="22"/>
        <v>43.25</v>
      </c>
      <c r="BV50" s="24">
        <f t="shared" si="22"/>
        <v>37.25</v>
      </c>
      <c r="BW50" s="13">
        <f t="shared" si="22"/>
        <v>20.25</v>
      </c>
      <c r="BX50" s="22" t="s">
        <v>1</v>
      </c>
      <c r="BY50" s="22" t="s">
        <v>1</v>
      </c>
      <c r="BZ50" s="24">
        <f t="shared" si="22"/>
        <v>15.25</v>
      </c>
      <c r="CA50" s="13">
        <f t="shared" si="22"/>
        <v>34</v>
      </c>
      <c r="CB50" s="21">
        <f t="shared" si="22"/>
        <v>0.3005</v>
      </c>
      <c r="CC50" s="24">
        <f t="shared" si="22"/>
        <v>-12.25</v>
      </c>
      <c r="CD50" s="13">
        <f t="shared" si="22"/>
        <v>43.5</v>
      </c>
      <c r="CE50" s="21">
        <f t="shared" si="22"/>
        <v>-1.725</v>
      </c>
      <c r="CF50" s="24">
        <f t="shared" si="22"/>
        <v>-1.75</v>
      </c>
      <c r="CG50" s="13">
        <f t="shared" si="22"/>
        <v>43</v>
      </c>
      <c r="CH50" s="21">
        <f t="shared" si="22"/>
        <v>-0.575</v>
      </c>
      <c r="CI50" s="24">
        <f t="shared" si="22"/>
        <v>53</v>
      </c>
      <c r="CJ50" s="13">
        <f t="shared" si="22"/>
        <v>19.75</v>
      </c>
      <c r="CK50" s="21">
        <f t="shared" si="22"/>
        <v>2.89775</v>
      </c>
      <c r="CL50" s="22" t="s">
        <v>1</v>
      </c>
      <c r="CM50" s="22" t="s">
        <v>1</v>
      </c>
      <c r="CN50" s="22" t="s">
        <v>1</v>
      </c>
      <c r="CO50" s="24">
        <f t="shared" si="22"/>
        <v>9</v>
      </c>
      <c r="CP50" s="13">
        <f t="shared" si="22"/>
        <v>82.75</v>
      </c>
      <c r="CQ50" s="24">
        <f t="shared" si="22"/>
        <v>14</v>
      </c>
      <c r="CR50" s="13">
        <f t="shared" si="22"/>
        <v>74.5</v>
      </c>
      <c r="CS50" s="24">
        <f t="shared" si="22"/>
        <v>11.75</v>
      </c>
      <c r="CT50" s="13">
        <f t="shared" si="22"/>
        <v>79.75</v>
      </c>
      <c r="CU50" s="24">
        <f t="shared" si="22"/>
        <v>2.5</v>
      </c>
      <c r="CV50" s="13">
        <f t="shared" si="22"/>
        <v>93</v>
      </c>
      <c r="CW50" s="22" t="s">
        <v>1</v>
      </c>
      <c r="CX50" s="22" t="s">
        <v>1</v>
      </c>
      <c r="CY50" s="24">
        <f t="shared" si="22"/>
        <v>17.75</v>
      </c>
      <c r="CZ50" s="13">
        <f t="shared" si="22"/>
        <v>35.25</v>
      </c>
      <c r="DA50" s="24">
        <f t="shared" si="22"/>
        <v>11</v>
      </c>
      <c r="DB50" s="13">
        <f t="shared" si="22"/>
        <v>43.75</v>
      </c>
      <c r="DC50" s="24">
        <f t="shared" si="22"/>
        <v>15.75</v>
      </c>
      <c r="DD50" s="13">
        <f t="shared" si="22"/>
        <v>42</v>
      </c>
      <c r="DE50" s="24">
        <f t="shared" si="22"/>
        <v>26.75</v>
      </c>
      <c r="DF50" s="13">
        <f t="shared" si="22"/>
        <v>22.75</v>
      </c>
      <c r="DG50" s="22" t="s">
        <v>1</v>
      </c>
      <c r="DH50" s="22" t="s">
        <v>1</v>
      </c>
      <c r="DI50" s="24">
        <f t="shared" si="22"/>
        <v>14.5</v>
      </c>
      <c r="DJ50" s="13">
        <f t="shared" si="22"/>
        <v>47.5</v>
      </c>
      <c r="DK50" s="24">
        <f t="shared" si="22"/>
        <v>3.5</v>
      </c>
      <c r="DL50" s="13">
        <f t="shared" si="22"/>
        <v>49.5</v>
      </c>
      <c r="DM50" s="24">
        <f t="shared" si="22"/>
        <v>8</v>
      </c>
      <c r="DN50" s="13">
        <f t="shared" si="22"/>
        <v>49.5</v>
      </c>
      <c r="DO50" s="24">
        <f t="shared" si="22"/>
        <v>30.25</v>
      </c>
      <c r="DP50" s="13">
        <f t="shared" si="22"/>
        <v>43.5</v>
      </c>
      <c r="DQ50" s="22" t="s">
        <v>1</v>
      </c>
      <c r="DR50" s="22" t="s">
        <v>1</v>
      </c>
      <c r="DS50" s="13">
        <f t="shared" si="22"/>
        <v>26.25</v>
      </c>
      <c r="DT50" s="13">
        <f t="shared" si="22"/>
        <v>69.25</v>
      </c>
      <c r="DU50" s="13">
        <f t="shared" si="22"/>
        <v>3.5</v>
      </c>
      <c r="DV50" s="24">
        <f t="shared" si="10"/>
        <v>22.75</v>
      </c>
      <c r="DW50" s="13">
        <f>AVERAGE(DW46:DW49)</f>
        <v>0.75</v>
      </c>
      <c r="DX50" s="13">
        <f>AVERAGE(DX46:DX49)</f>
        <v>29.5</v>
      </c>
      <c r="DY50" s="13">
        <f>AVERAGE(DY46:DY49)</f>
        <v>67.5</v>
      </c>
      <c r="DZ50" s="13">
        <f>AVERAGE(DZ46:DZ49)</f>
        <v>2.25</v>
      </c>
      <c r="EA50" s="24">
        <f t="shared" si="11"/>
        <v>27.25</v>
      </c>
      <c r="EB50" s="13">
        <f>AVERAGE(EB46:EB49)</f>
        <v>0.25</v>
      </c>
      <c r="EC50" s="13">
        <f>AVERAGE(EC46:EC49)</f>
        <v>68.75</v>
      </c>
      <c r="ED50" s="13">
        <f>AVERAGE(ED46:ED49)</f>
        <v>30.25</v>
      </c>
      <c r="EE50" s="13">
        <f>AVERAGE(EE46:EE49)</f>
        <v>0.75</v>
      </c>
      <c r="EF50" s="24">
        <f t="shared" si="12"/>
        <v>68</v>
      </c>
      <c r="EG50" s="16">
        <f>AVERAGE(EG46:EG49)</f>
        <v>0</v>
      </c>
      <c r="EH50" s="13">
        <f>AVERAGE(EH46:EH49)</f>
        <v>43.55963817127944</v>
      </c>
      <c r="EI50" s="13">
        <f>AVERAGE(EI46:EI49)</f>
        <v>53.73016101780406</v>
      </c>
      <c r="EJ50" s="13">
        <f>AVERAGE(EJ46:EJ49)</f>
        <v>2.276052679591911</v>
      </c>
      <c r="EK50" s="24">
        <f t="shared" si="15"/>
        <v>41.283585491687525</v>
      </c>
      <c r="EL50" s="13">
        <f>AVERAGE(EL46:EL49)</f>
        <v>0.4341481313245904</v>
      </c>
      <c r="EM50" s="6" t="s">
        <v>1</v>
      </c>
      <c r="EN50" s="6" t="s">
        <v>1</v>
      </c>
      <c r="EO50" s="6" t="s">
        <v>1</v>
      </c>
      <c r="EP50" s="6" t="s">
        <v>1</v>
      </c>
      <c r="EQ50" s="6" t="s">
        <v>1</v>
      </c>
    </row>
    <row r="51" spans="1:147" ht="12">
      <c r="A51" s="1" t="s">
        <v>48</v>
      </c>
      <c r="B51" s="24">
        <f>15-53</f>
        <v>-38</v>
      </c>
      <c r="C51" s="8">
        <v>32</v>
      </c>
      <c r="D51" s="23">
        <f>17-29</f>
        <v>-12</v>
      </c>
      <c r="E51" s="8">
        <v>54</v>
      </c>
      <c r="F51" s="23">
        <f>22-29</f>
        <v>-7</v>
      </c>
      <c r="G51" s="8">
        <v>49</v>
      </c>
      <c r="H51" s="23">
        <f>11-80</f>
        <v>-69</v>
      </c>
      <c r="I51" s="8">
        <v>9</v>
      </c>
      <c r="J51" s="23">
        <f>51-18</f>
        <v>33</v>
      </c>
      <c r="K51" s="8">
        <v>31</v>
      </c>
      <c r="L51" s="20">
        <v>2.741</v>
      </c>
      <c r="M51" s="23">
        <f>28-23</f>
        <v>5</v>
      </c>
      <c r="N51" s="8">
        <v>49</v>
      </c>
      <c r="O51" s="20">
        <v>0.12</v>
      </c>
      <c r="P51" s="23">
        <f>27-26</f>
        <v>1</v>
      </c>
      <c r="Q51" s="8">
        <v>47</v>
      </c>
      <c r="R51" s="20">
        <v>-0.297</v>
      </c>
      <c r="S51" s="23">
        <f>78-11</f>
        <v>67</v>
      </c>
      <c r="T51" s="8">
        <v>11</v>
      </c>
      <c r="U51" s="20">
        <v>5.855</v>
      </c>
      <c r="V51" s="23">
        <f>9-2</f>
        <v>7</v>
      </c>
      <c r="W51" s="10">
        <v>89</v>
      </c>
      <c r="X51" s="23">
        <f>14-4</f>
        <v>10</v>
      </c>
      <c r="Y51" s="10">
        <v>82</v>
      </c>
      <c r="Z51" s="23">
        <f>15-2</f>
        <v>13</v>
      </c>
      <c r="AA51" s="10">
        <v>83</v>
      </c>
      <c r="AB51" s="23">
        <f>2-0</f>
        <v>2</v>
      </c>
      <c r="AC51" s="10">
        <v>98</v>
      </c>
      <c r="AD51" s="23">
        <f>48-13</f>
        <v>35</v>
      </c>
      <c r="AE51" s="10">
        <v>39</v>
      </c>
      <c r="AF51" s="23">
        <f>32-17</f>
        <v>15</v>
      </c>
      <c r="AG51" s="10">
        <v>51</v>
      </c>
      <c r="AH51" s="23">
        <f>37-9</f>
        <v>28</v>
      </c>
      <c r="AI51" s="10">
        <v>54</v>
      </c>
      <c r="AJ51" s="23">
        <f>64-12</f>
        <v>52</v>
      </c>
      <c r="AK51" s="10">
        <v>24</v>
      </c>
      <c r="AL51" s="23">
        <f>45-12</f>
        <v>33</v>
      </c>
      <c r="AM51" s="10">
        <v>43</v>
      </c>
      <c r="AN51" s="23">
        <f>25-20</f>
        <v>5</v>
      </c>
      <c r="AO51" s="10">
        <v>55</v>
      </c>
      <c r="AP51" s="23">
        <f>32-13</f>
        <v>19</v>
      </c>
      <c r="AQ51" s="10">
        <v>55</v>
      </c>
      <c r="AR51" s="23">
        <f>67-4</f>
        <v>63</v>
      </c>
      <c r="AS51" s="10">
        <v>29</v>
      </c>
      <c r="AT51" s="12">
        <v>34</v>
      </c>
      <c r="AU51" s="12">
        <v>63</v>
      </c>
      <c r="AV51" s="12">
        <v>2</v>
      </c>
      <c r="AW51" s="24">
        <f t="shared" si="20"/>
        <v>32</v>
      </c>
      <c r="AX51" s="12">
        <v>1</v>
      </c>
      <c r="AY51" s="12">
        <v>39</v>
      </c>
      <c r="AZ51" s="12">
        <v>57</v>
      </c>
      <c r="BA51" s="12">
        <v>3</v>
      </c>
      <c r="BB51" s="24">
        <f t="shared" si="7"/>
        <v>36</v>
      </c>
      <c r="BC51" s="12">
        <v>0</v>
      </c>
      <c r="BD51" s="12">
        <v>84</v>
      </c>
      <c r="BE51" s="12">
        <v>16</v>
      </c>
      <c r="BF51" s="12">
        <v>0</v>
      </c>
      <c r="BG51" s="24">
        <f t="shared" si="8"/>
        <v>84</v>
      </c>
      <c r="BH51" s="12">
        <v>0</v>
      </c>
      <c r="BI51" s="8">
        <v>58</v>
      </c>
      <c r="BJ51" s="8">
        <v>40</v>
      </c>
      <c r="BK51" s="8">
        <v>1</v>
      </c>
      <c r="BL51" s="24">
        <f t="shared" si="9"/>
        <v>57</v>
      </c>
      <c r="BM51" s="8">
        <v>0</v>
      </c>
      <c r="BN51" s="8"/>
      <c r="BO51" s="8"/>
      <c r="BP51" s="24">
        <f>15-53</f>
        <v>-38</v>
      </c>
      <c r="BQ51" s="8">
        <v>32</v>
      </c>
      <c r="BR51" s="22" t="s">
        <v>1</v>
      </c>
      <c r="BS51" s="22" t="s">
        <v>1</v>
      </c>
      <c r="BT51" s="22" t="s">
        <v>1</v>
      </c>
      <c r="BU51" s="22" t="s">
        <v>1</v>
      </c>
      <c r="BV51" s="24">
        <f>14-73</f>
        <v>-59</v>
      </c>
      <c r="BW51" s="8">
        <v>14</v>
      </c>
      <c r="BX51" s="24">
        <f>16-42</f>
        <v>-26</v>
      </c>
      <c r="BY51" s="8">
        <v>43</v>
      </c>
      <c r="BZ51" s="24">
        <f>46-25</f>
        <v>21</v>
      </c>
      <c r="CA51" s="8">
        <v>28</v>
      </c>
      <c r="CB51" s="20">
        <v>0.543</v>
      </c>
      <c r="CC51" s="22" t="s">
        <v>1</v>
      </c>
      <c r="CD51" s="22" t="s">
        <v>1</v>
      </c>
      <c r="CE51" s="22" t="s">
        <v>1</v>
      </c>
      <c r="CF51" s="22" t="s">
        <v>1</v>
      </c>
      <c r="CG51" s="22" t="s">
        <v>1</v>
      </c>
      <c r="CH51" s="22" t="s">
        <v>1</v>
      </c>
      <c r="CI51" s="8">
        <f>75-8</f>
        <v>67</v>
      </c>
      <c r="CJ51" s="8">
        <v>17</v>
      </c>
      <c r="CK51" s="21">
        <v>3.526</v>
      </c>
      <c r="CL51" s="24">
        <f>30-35</f>
        <v>-5</v>
      </c>
      <c r="CM51" s="8">
        <v>35</v>
      </c>
      <c r="CN51" s="21">
        <v>-1.185</v>
      </c>
      <c r="CO51" s="24">
        <f>14-3</f>
        <v>11</v>
      </c>
      <c r="CP51" s="10">
        <v>83</v>
      </c>
      <c r="CQ51" s="22" t="s">
        <v>1</v>
      </c>
      <c r="CR51" s="22" t="s">
        <v>1</v>
      </c>
      <c r="CS51" s="22" t="s">
        <v>1</v>
      </c>
      <c r="CT51" s="22" t="s">
        <v>1</v>
      </c>
      <c r="CU51" s="8">
        <f>4-1</f>
        <v>3</v>
      </c>
      <c r="CV51" s="8">
        <v>95</v>
      </c>
      <c r="CW51" s="8">
        <f>20-4</f>
        <v>16</v>
      </c>
      <c r="CX51" s="8">
        <v>76</v>
      </c>
      <c r="CY51" s="24">
        <f>40-17</f>
        <v>23</v>
      </c>
      <c r="CZ51" s="10">
        <v>43</v>
      </c>
      <c r="DA51" s="22" t="s">
        <v>1</v>
      </c>
      <c r="DB51" s="22" t="s">
        <v>1</v>
      </c>
      <c r="DC51" s="22" t="s">
        <v>1</v>
      </c>
      <c r="DD51" s="22" t="s">
        <v>1</v>
      </c>
      <c r="DE51" s="8">
        <f>51-23</f>
        <v>28</v>
      </c>
      <c r="DF51" s="8">
        <v>26</v>
      </c>
      <c r="DG51" s="24">
        <f>33-13</f>
        <v>20</v>
      </c>
      <c r="DH51" s="8">
        <v>53</v>
      </c>
      <c r="DI51" s="24">
        <f>33-19</f>
        <v>14</v>
      </c>
      <c r="DJ51" s="12">
        <v>48</v>
      </c>
      <c r="DK51" s="22" t="s">
        <v>1</v>
      </c>
      <c r="DL51" s="22" t="s">
        <v>1</v>
      </c>
      <c r="DM51" s="22" t="s">
        <v>1</v>
      </c>
      <c r="DN51" s="22" t="s">
        <v>1</v>
      </c>
      <c r="DO51" s="8">
        <f>41-10</f>
        <v>31</v>
      </c>
      <c r="DP51" s="8">
        <v>49</v>
      </c>
      <c r="DQ51" s="24">
        <f>29-24</f>
        <v>5</v>
      </c>
      <c r="DR51" s="8">
        <v>47</v>
      </c>
      <c r="DS51" s="22" t="s">
        <v>1</v>
      </c>
      <c r="DT51" s="22" t="s">
        <v>1</v>
      </c>
      <c r="DU51" s="22" t="s">
        <v>1</v>
      </c>
      <c r="DV51" s="22" t="s">
        <v>1</v>
      </c>
      <c r="DW51" s="22" t="s">
        <v>1</v>
      </c>
      <c r="DX51" s="22" t="s">
        <v>1</v>
      </c>
      <c r="DY51" s="22" t="s">
        <v>1</v>
      </c>
      <c r="DZ51" s="22" t="s">
        <v>1</v>
      </c>
      <c r="EA51" s="22" t="s">
        <v>1</v>
      </c>
      <c r="EB51" s="22" t="s">
        <v>1</v>
      </c>
      <c r="EC51" s="12">
        <v>75</v>
      </c>
      <c r="ED51" s="12">
        <v>23</v>
      </c>
      <c r="EE51" s="12">
        <v>1</v>
      </c>
      <c r="EF51" s="11">
        <f t="shared" si="12"/>
        <v>74</v>
      </c>
      <c r="EG51" s="12">
        <v>0</v>
      </c>
      <c r="EH51" s="8">
        <v>43.30382573727845</v>
      </c>
      <c r="EI51" s="8">
        <v>47.77546817131672</v>
      </c>
      <c r="EJ51" s="8">
        <v>8.13578194926445</v>
      </c>
      <c r="EK51" s="24">
        <f t="shared" si="15"/>
        <v>35.168043788014</v>
      </c>
      <c r="EL51" s="23">
        <v>0.7849241421403845</v>
      </c>
      <c r="EM51" s="12">
        <v>25</v>
      </c>
      <c r="EN51" s="12">
        <v>62</v>
      </c>
      <c r="EO51" s="12">
        <v>12</v>
      </c>
      <c r="EP51" s="24">
        <f aca="true" t="shared" si="23" ref="EP51:EP60">EM51-EO51</f>
        <v>13</v>
      </c>
      <c r="EQ51" s="17">
        <v>1</v>
      </c>
    </row>
    <row r="52" spans="1:147" ht="12">
      <c r="A52" s="1" t="s">
        <v>36</v>
      </c>
      <c r="B52" s="24">
        <f>50-19</f>
        <v>31</v>
      </c>
      <c r="C52" s="8">
        <v>31</v>
      </c>
      <c r="D52" s="23">
        <f>19-35</f>
        <v>-16</v>
      </c>
      <c r="E52" s="8">
        <v>45</v>
      </c>
      <c r="F52" s="23">
        <f>19-26</f>
        <v>-7</v>
      </c>
      <c r="G52" s="8">
        <v>55</v>
      </c>
      <c r="H52" s="23">
        <f>85-4</f>
        <v>81</v>
      </c>
      <c r="I52" s="8">
        <v>12</v>
      </c>
      <c r="J52" s="23">
        <f>47-19</f>
        <v>28</v>
      </c>
      <c r="K52" s="8">
        <v>34</v>
      </c>
      <c r="L52" s="20">
        <v>0.56</v>
      </c>
      <c r="M52" s="23">
        <f>12-31</f>
        <v>-19</v>
      </c>
      <c r="N52" s="8">
        <v>57</v>
      </c>
      <c r="O52" s="20">
        <v>-2.957</v>
      </c>
      <c r="P52" s="23">
        <f>21-33</f>
        <v>-12</v>
      </c>
      <c r="Q52" s="8">
        <v>47</v>
      </c>
      <c r="R52" s="20">
        <v>-1.989</v>
      </c>
      <c r="S52" s="23">
        <f>85-6</f>
        <v>79</v>
      </c>
      <c r="T52" s="8">
        <v>10</v>
      </c>
      <c r="U52" s="20">
        <v>4.259</v>
      </c>
      <c r="V52" s="23">
        <f>5-2</f>
        <v>3</v>
      </c>
      <c r="W52" s="10">
        <v>93</v>
      </c>
      <c r="X52" s="23">
        <f>7-5</f>
        <v>2</v>
      </c>
      <c r="Y52" s="10">
        <v>88</v>
      </c>
      <c r="Z52" s="23">
        <f>9-2</f>
        <v>7</v>
      </c>
      <c r="AA52" s="10">
        <v>89</v>
      </c>
      <c r="AB52" s="23">
        <f>1-0</f>
        <v>1</v>
      </c>
      <c r="AC52" s="10">
        <v>99</v>
      </c>
      <c r="AD52" s="23">
        <f>50-16</f>
        <v>34</v>
      </c>
      <c r="AE52" s="10">
        <v>34</v>
      </c>
      <c r="AF52" s="23">
        <f>23-25</f>
        <v>-2</v>
      </c>
      <c r="AG52" s="10">
        <v>52</v>
      </c>
      <c r="AH52" s="23">
        <f>14-29</f>
        <v>-15</v>
      </c>
      <c r="AI52" s="10">
        <v>57</v>
      </c>
      <c r="AJ52" s="23">
        <f>83-4</f>
        <v>79</v>
      </c>
      <c r="AK52" s="10">
        <v>12</v>
      </c>
      <c r="AL52" s="23">
        <f>47-15</f>
        <v>32</v>
      </c>
      <c r="AM52" s="10">
        <v>38</v>
      </c>
      <c r="AN52" s="23">
        <f>16-25</f>
        <v>-9</v>
      </c>
      <c r="AO52" s="10">
        <v>59</v>
      </c>
      <c r="AP52" s="23">
        <f>11-28</f>
        <v>-17</v>
      </c>
      <c r="AQ52" s="10">
        <v>61</v>
      </c>
      <c r="AR52" s="23">
        <f>83-4</f>
        <v>79</v>
      </c>
      <c r="AS52" s="10">
        <v>13</v>
      </c>
      <c r="AT52" s="12">
        <v>17</v>
      </c>
      <c r="AU52" s="12">
        <v>78</v>
      </c>
      <c r="AV52" s="12">
        <v>3</v>
      </c>
      <c r="AW52" s="24">
        <f t="shared" si="20"/>
        <v>14</v>
      </c>
      <c r="AX52" s="12">
        <v>3</v>
      </c>
      <c r="AY52" s="12">
        <v>29</v>
      </c>
      <c r="AZ52" s="12">
        <v>69</v>
      </c>
      <c r="BA52" s="12">
        <v>2</v>
      </c>
      <c r="BB52" s="24">
        <f t="shared" si="7"/>
        <v>27</v>
      </c>
      <c r="BC52" s="12">
        <v>1</v>
      </c>
      <c r="BD52" s="12">
        <v>82</v>
      </c>
      <c r="BE52" s="12">
        <v>18</v>
      </c>
      <c r="BF52" s="12">
        <v>0</v>
      </c>
      <c r="BG52" s="24">
        <f t="shared" si="8"/>
        <v>82</v>
      </c>
      <c r="BH52" s="12">
        <v>0</v>
      </c>
      <c r="BI52" s="8">
        <v>49</v>
      </c>
      <c r="BJ52" s="8">
        <v>48</v>
      </c>
      <c r="BK52" s="8">
        <v>2</v>
      </c>
      <c r="BL52" s="24">
        <f t="shared" si="9"/>
        <v>47</v>
      </c>
      <c r="BM52" s="8">
        <v>1</v>
      </c>
      <c r="BN52" s="8"/>
      <c r="BO52" s="8"/>
      <c r="BP52" s="24">
        <f>43-18</f>
        <v>25</v>
      </c>
      <c r="BQ52" s="8">
        <v>39</v>
      </c>
      <c r="BR52" s="22" t="s">
        <v>1</v>
      </c>
      <c r="BS52" s="22" t="s">
        <v>1</v>
      </c>
      <c r="BT52" s="22" t="s">
        <v>1</v>
      </c>
      <c r="BU52" s="22" t="s">
        <v>1</v>
      </c>
      <c r="BV52" s="24">
        <f>80-7</f>
        <v>73</v>
      </c>
      <c r="BW52" s="8">
        <v>13</v>
      </c>
      <c r="BX52" s="24">
        <f>21-24</f>
        <v>-3</v>
      </c>
      <c r="BY52" s="8">
        <v>55</v>
      </c>
      <c r="BZ52" s="24">
        <f>37-26</f>
        <v>11</v>
      </c>
      <c r="CA52" s="8">
        <v>37</v>
      </c>
      <c r="CB52" s="20">
        <v>0.084</v>
      </c>
      <c r="CC52" s="22" t="s">
        <v>1</v>
      </c>
      <c r="CD52" s="22" t="s">
        <v>1</v>
      </c>
      <c r="CE52" s="22" t="s">
        <v>1</v>
      </c>
      <c r="CF52" s="22" t="s">
        <v>1</v>
      </c>
      <c r="CG52" s="22" t="s">
        <v>1</v>
      </c>
      <c r="CH52" s="22" t="s">
        <v>1</v>
      </c>
      <c r="CI52" s="8">
        <f>76-13</f>
        <v>63</v>
      </c>
      <c r="CJ52" s="8">
        <v>11</v>
      </c>
      <c r="CK52" s="21">
        <v>2.832</v>
      </c>
      <c r="CL52" s="24">
        <f>15-33</f>
        <v>-18</v>
      </c>
      <c r="CM52" s="8">
        <v>52</v>
      </c>
      <c r="CN52" s="21">
        <v>-1.508</v>
      </c>
      <c r="CO52" s="24">
        <f>10-2</f>
        <v>8</v>
      </c>
      <c r="CP52" s="10">
        <v>88</v>
      </c>
      <c r="CQ52" s="22" t="s">
        <v>1</v>
      </c>
      <c r="CR52" s="22" t="s">
        <v>1</v>
      </c>
      <c r="CS52" s="22" t="s">
        <v>1</v>
      </c>
      <c r="CT52" s="22" t="s">
        <v>1</v>
      </c>
      <c r="CU52" s="24">
        <f>4-0</f>
        <v>4</v>
      </c>
      <c r="CV52" s="10">
        <v>95</v>
      </c>
      <c r="CW52" s="8">
        <f>13-2</f>
        <v>11</v>
      </c>
      <c r="CX52" s="8">
        <v>84</v>
      </c>
      <c r="CY52" s="24">
        <f>43-16</f>
        <v>27</v>
      </c>
      <c r="CZ52" s="10">
        <v>41</v>
      </c>
      <c r="DA52" s="22" t="s">
        <v>1</v>
      </c>
      <c r="DB52" s="22" t="s">
        <v>1</v>
      </c>
      <c r="DC52" s="22" t="s">
        <v>1</v>
      </c>
      <c r="DD52" s="22" t="s">
        <v>1</v>
      </c>
      <c r="DE52" s="24">
        <f>79-7</f>
        <v>72</v>
      </c>
      <c r="DF52" s="12">
        <v>13</v>
      </c>
      <c r="DG52" s="24">
        <f>22-21</f>
        <v>1</v>
      </c>
      <c r="DH52" s="8">
        <v>57</v>
      </c>
      <c r="DI52" s="24">
        <f>37-13</f>
        <v>24</v>
      </c>
      <c r="DJ52" s="12">
        <v>50</v>
      </c>
      <c r="DK52" s="22" t="s">
        <v>1</v>
      </c>
      <c r="DL52" s="22" t="s">
        <v>1</v>
      </c>
      <c r="DM52" s="22" t="s">
        <v>1</v>
      </c>
      <c r="DN52" s="22" t="s">
        <v>1</v>
      </c>
      <c r="DO52" s="24">
        <f>77-6</f>
        <v>71</v>
      </c>
      <c r="DP52" s="12">
        <v>17</v>
      </c>
      <c r="DQ52" s="24">
        <f>14-17</f>
        <v>-3</v>
      </c>
      <c r="DR52" s="8">
        <v>69</v>
      </c>
      <c r="DS52" s="22" t="s">
        <v>1</v>
      </c>
      <c r="DT52" s="22" t="s">
        <v>1</v>
      </c>
      <c r="DU52" s="22" t="s">
        <v>1</v>
      </c>
      <c r="DV52" s="22" t="s">
        <v>1</v>
      </c>
      <c r="DW52" s="22" t="s">
        <v>1</v>
      </c>
      <c r="DX52" s="22" t="s">
        <v>1</v>
      </c>
      <c r="DY52" s="22" t="s">
        <v>1</v>
      </c>
      <c r="DZ52" s="22" t="s">
        <v>1</v>
      </c>
      <c r="EA52" s="22" t="s">
        <v>1</v>
      </c>
      <c r="EB52" s="22" t="s">
        <v>1</v>
      </c>
      <c r="EC52" s="12">
        <v>77</v>
      </c>
      <c r="ED52" s="12">
        <v>23</v>
      </c>
      <c r="EE52" s="12">
        <v>0</v>
      </c>
      <c r="EF52" s="16">
        <f t="shared" si="12"/>
        <v>77</v>
      </c>
      <c r="EG52" s="12">
        <v>0</v>
      </c>
      <c r="EH52" s="8">
        <v>39.17754459138843</v>
      </c>
      <c r="EI52" s="8">
        <v>57.480721987817354</v>
      </c>
      <c r="EJ52" s="8">
        <v>1.7645383605879972</v>
      </c>
      <c r="EK52" s="16">
        <f t="shared" si="15"/>
        <v>37.413006230800434</v>
      </c>
      <c r="EL52" s="23">
        <v>1.5771950602062101</v>
      </c>
      <c r="EM52" s="12">
        <v>17</v>
      </c>
      <c r="EN52" s="12">
        <v>78</v>
      </c>
      <c r="EO52" s="12">
        <v>3</v>
      </c>
      <c r="EP52" s="24">
        <f t="shared" si="23"/>
        <v>14</v>
      </c>
      <c r="EQ52" s="17">
        <v>2</v>
      </c>
    </row>
    <row r="53" spans="1:147" ht="12">
      <c r="A53" s="1" t="s">
        <v>32</v>
      </c>
      <c r="B53" s="24">
        <f>14-54</f>
        <v>-40</v>
      </c>
      <c r="C53" s="8">
        <v>32</v>
      </c>
      <c r="D53" s="23">
        <f>23-31</f>
        <v>-8</v>
      </c>
      <c r="E53" s="8">
        <v>46</v>
      </c>
      <c r="F53" s="23">
        <f>16-28</f>
        <v>-12</v>
      </c>
      <c r="G53" s="8">
        <v>55</v>
      </c>
      <c r="H53" s="23">
        <f>5-82</f>
        <v>-77</v>
      </c>
      <c r="I53" s="8">
        <v>13</v>
      </c>
      <c r="J53" s="23">
        <f>47-19</f>
        <v>28</v>
      </c>
      <c r="K53" s="8">
        <v>34</v>
      </c>
      <c r="L53" s="20">
        <v>2.045</v>
      </c>
      <c r="M53" s="23">
        <f>15-32</f>
        <v>-17</v>
      </c>
      <c r="N53" s="8">
        <v>54</v>
      </c>
      <c r="O53" s="20">
        <v>-1.497</v>
      </c>
      <c r="P53" s="23">
        <f>20-29</f>
        <v>-9</v>
      </c>
      <c r="Q53" s="8">
        <v>52</v>
      </c>
      <c r="R53" s="20">
        <v>-0.763</v>
      </c>
      <c r="S53" s="23">
        <f>82-6</f>
        <v>76</v>
      </c>
      <c r="T53" s="8">
        <v>12</v>
      </c>
      <c r="U53" s="20">
        <v>5.848</v>
      </c>
      <c r="V53" s="23">
        <f>8-2</f>
        <v>6</v>
      </c>
      <c r="W53" s="10">
        <v>90</v>
      </c>
      <c r="X53" s="23">
        <f>14-5</f>
        <v>9</v>
      </c>
      <c r="Y53" s="10">
        <v>81</v>
      </c>
      <c r="Z53" s="23">
        <f>11-2</f>
        <v>9</v>
      </c>
      <c r="AA53" s="10">
        <v>87</v>
      </c>
      <c r="AB53" s="23">
        <f>2-0</f>
        <v>2</v>
      </c>
      <c r="AC53" s="10">
        <v>98</v>
      </c>
      <c r="AD53" s="23">
        <f>69-9</f>
        <v>60</v>
      </c>
      <c r="AE53" s="10">
        <v>22</v>
      </c>
      <c r="AF53" s="23">
        <f>50-18</f>
        <v>32</v>
      </c>
      <c r="AG53" s="10">
        <v>32</v>
      </c>
      <c r="AH53" s="23">
        <f>49-10</f>
        <v>39</v>
      </c>
      <c r="AI53" s="10">
        <v>40</v>
      </c>
      <c r="AJ53" s="23">
        <f>90-2</f>
        <v>88</v>
      </c>
      <c r="AK53" s="10">
        <v>8</v>
      </c>
      <c r="AL53" s="23">
        <f>65-9</f>
        <v>56</v>
      </c>
      <c r="AM53" s="10">
        <v>26</v>
      </c>
      <c r="AN53" s="23">
        <f>46-18</f>
        <v>28</v>
      </c>
      <c r="AO53" s="10">
        <v>36</v>
      </c>
      <c r="AP53" s="23">
        <f>41-11</f>
        <v>30</v>
      </c>
      <c r="AQ53" s="10">
        <v>48</v>
      </c>
      <c r="AR53" s="23">
        <f>88-2</f>
        <v>86</v>
      </c>
      <c r="AS53" s="10">
        <v>11</v>
      </c>
      <c r="AT53" s="12">
        <v>24</v>
      </c>
      <c r="AU53" s="12">
        <v>73</v>
      </c>
      <c r="AV53" s="12">
        <v>3</v>
      </c>
      <c r="AW53" s="24">
        <f t="shared" si="20"/>
        <v>21</v>
      </c>
      <c r="AX53" s="12">
        <v>1</v>
      </c>
      <c r="AY53" s="12">
        <v>22</v>
      </c>
      <c r="AZ53" s="12">
        <v>76</v>
      </c>
      <c r="BA53" s="12">
        <v>1</v>
      </c>
      <c r="BB53" s="24">
        <f t="shared" si="7"/>
        <v>21</v>
      </c>
      <c r="BC53" s="12">
        <v>1</v>
      </c>
      <c r="BD53" s="12">
        <v>83</v>
      </c>
      <c r="BE53" s="12">
        <v>17</v>
      </c>
      <c r="BF53" s="12">
        <v>0</v>
      </c>
      <c r="BG53" s="24">
        <f t="shared" si="8"/>
        <v>83</v>
      </c>
      <c r="BH53" s="12">
        <v>0</v>
      </c>
      <c r="BI53" s="8">
        <v>51.2190955699465</v>
      </c>
      <c r="BJ53" s="8">
        <v>47.03253097293139</v>
      </c>
      <c r="BK53" s="8">
        <v>1.4565658067085476</v>
      </c>
      <c r="BL53" s="24">
        <f t="shared" si="9"/>
        <v>49.76252976323795</v>
      </c>
      <c r="BM53" s="8">
        <v>0.2918076504135688</v>
      </c>
      <c r="BN53" s="8"/>
      <c r="BO53" s="8"/>
      <c r="BP53" s="24">
        <f>15-55</f>
        <v>-40</v>
      </c>
      <c r="BQ53" s="8">
        <v>29</v>
      </c>
      <c r="BR53" s="22" t="s">
        <v>1</v>
      </c>
      <c r="BS53" s="22" t="s">
        <v>1</v>
      </c>
      <c r="BT53" s="22" t="s">
        <v>1</v>
      </c>
      <c r="BU53" s="22" t="s">
        <v>1</v>
      </c>
      <c r="BV53" s="24">
        <f>17-73</f>
        <v>-56</v>
      </c>
      <c r="BW53" s="8">
        <v>10</v>
      </c>
      <c r="BX53" s="24">
        <f>14-45</f>
        <v>-31</v>
      </c>
      <c r="BY53" s="8">
        <v>41</v>
      </c>
      <c r="BZ53" s="24">
        <f>34-37</f>
        <v>-3</v>
      </c>
      <c r="CA53" s="8">
        <v>29</v>
      </c>
      <c r="CB53" s="20">
        <v>-1.097</v>
      </c>
      <c r="CC53" s="22" t="s">
        <v>1</v>
      </c>
      <c r="CD53" s="22" t="s">
        <v>1</v>
      </c>
      <c r="CE53" s="22" t="s">
        <v>1</v>
      </c>
      <c r="CF53" s="22" t="s">
        <v>1</v>
      </c>
      <c r="CG53" s="22" t="s">
        <v>1</v>
      </c>
      <c r="CH53" s="22" t="s">
        <v>1</v>
      </c>
      <c r="CI53" s="8">
        <f>71-20</f>
        <v>51</v>
      </c>
      <c r="CJ53" s="8">
        <v>10</v>
      </c>
      <c r="CK53" s="21">
        <v>3.126</v>
      </c>
      <c r="CL53" s="24">
        <f>12-47</f>
        <v>-35</v>
      </c>
      <c r="CM53" s="8">
        <v>41</v>
      </c>
      <c r="CN53" s="21">
        <v>-3.546</v>
      </c>
      <c r="CO53" s="24">
        <f>11-4</f>
        <v>7</v>
      </c>
      <c r="CP53" s="10">
        <v>86</v>
      </c>
      <c r="CQ53" s="22" t="s">
        <v>1</v>
      </c>
      <c r="CR53" s="22" t="s">
        <v>1</v>
      </c>
      <c r="CS53" s="22" t="s">
        <v>1</v>
      </c>
      <c r="CT53" s="22" t="s">
        <v>1</v>
      </c>
      <c r="CU53" s="24">
        <f>3-1</f>
        <v>2</v>
      </c>
      <c r="CV53" s="10">
        <v>96</v>
      </c>
      <c r="CW53" s="8">
        <f>15-5</f>
        <v>10</v>
      </c>
      <c r="CX53" s="8">
        <v>80</v>
      </c>
      <c r="CY53" s="24">
        <f>62-16</f>
        <v>46</v>
      </c>
      <c r="CZ53" s="10">
        <v>22</v>
      </c>
      <c r="DA53" s="22" t="s">
        <v>1</v>
      </c>
      <c r="DB53" s="22" t="s">
        <v>1</v>
      </c>
      <c r="DC53" s="22" t="s">
        <v>1</v>
      </c>
      <c r="DD53" s="22" t="s">
        <v>1</v>
      </c>
      <c r="DE53" s="24">
        <f>88-5</f>
        <v>83</v>
      </c>
      <c r="DF53" s="12">
        <v>7</v>
      </c>
      <c r="DG53" s="24">
        <f>47-22</f>
        <v>25</v>
      </c>
      <c r="DH53" s="8">
        <v>31</v>
      </c>
      <c r="DI53" s="24">
        <f>53-16</f>
        <v>37</v>
      </c>
      <c r="DJ53" s="12">
        <v>31</v>
      </c>
      <c r="DK53" s="22" t="s">
        <v>1</v>
      </c>
      <c r="DL53" s="22" t="s">
        <v>1</v>
      </c>
      <c r="DM53" s="22" t="s">
        <v>1</v>
      </c>
      <c r="DN53" s="22" t="s">
        <v>1</v>
      </c>
      <c r="DO53" s="24">
        <f>85-5</f>
        <v>80</v>
      </c>
      <c r="DP53" s="12">
        <v>10</v>
      </c>
      <c r="DQ53" s="24">
        <f>35-23</f>
        <v>12</v>
      </c>
      <c r="DR53" s="8">
        <v>43</v>
      </c>
      <c r="DS53" s="22" t="s">
        <v>1</v>
      </c>
      <c r="DT53" s="22" t="s">
        <v>1</v>
      </c>
      <c r="DU53" s="22" t="s">
        <v>1</v>
      </c>
      <c r="DV53" s="22" t="s">
        <v>1</v>
      </c>
      <c r="DW53" s="22" t="s">
        <v>1</v>
      </c>
      <c r="DX53" s="22" t="s">
        <v>1</v>
      </c>
      <c r="DY53" s="22" t="s">
        <v>1</v>
      </c>
      <c r="DZ53" s="22" t="s">
        <v>1</v>
      </c>
      <c r="EA53" s="22" t="s">
        <v>1</v>
      </c>
      <c r="EB53" s="22" t="s">
        <v>1</v>
      </c>
      <c r="EC53" s="12">
        <v>83</v>
      </c>
      <c r="ED53" s="12">
        <v>16</v>
      </c>
      <c r="EE53" s="12">
        <v>0</v>
      </c>
      <c r="EF53" s="16">
        <f t="shared" si="12"/>
        <v>83</v>
      </c>
      <c r="EG53" s="12">
        <v>0</v>
      </c>
      <c r="EH53" s="8">
        <v>42</v>
      </c>
      <c r="EI53" s="8">
        <v>53</v>
      </c>
      <c r="EJ53" s="8">
        <v>2</v>
      </c>
      <c r="EK53" s="16">
        <f t="shared" si="15"/>
        <v>40</v>
      </c>
      <c r="EL53" s="23">
        <v>3</v>
      </c>
      <c r="EM53" s="12">
        <v>19</v>
      </c>
      <c r="EN53" s="12">
        <v>74</v>
      </c>
      <c r="EO53" s="12">
        <v>3</v>
      </c>
      <c r="EP53" s="24">
        <f t="shared" si="23"/>
        <v>16</v>
      </c>
      <c r="EQ53" s="17">
        <v>4</v>
      </c>
    </row>
    <row r="54" spans="1:147" ht="12">
      <c r="A54" s="1" t="s">
        <v>33</v>
      </c>
      <c r="B54" s="24">
        <f>43-27</f>
        <v>16</v>
      </c>
      <c r="C54" s="8">
        <v>27.068719210464494</v>
      </c>
      <c r="D54" s="23">
        <f>27-32</f>
        <v>-5</v>
      </c>
      <c r="E54" s="8">
        <v>42.566698137798355</v>
      </c>
      <c r="F54" s="23">
        <f>32-26</f>
        <v>6</v>
      </c>
      <c r="G54" s="8">
        <v>42.41703670919274</v>
      </c>
      <c r="H54" s="23">
        <f>59-31</f>
        <v>28</v>
      </c>
      <c r="I54" s="8">
        <v>10.516486618669974</v>
      </c>
      <c r="J54" s="23">
        <f>48-29</f>
        <v>19</v>
      </c>
      <c r="K54" s="8">
        <v>23.230873824393573</v>
      </c>
      <c r="L54" s="20">
        <v>0.229</v>
      </c>
      <c r="M54" s="23">
        <f>16-45</f>
        <v>-29</v>
      </c>
      <c r="N54" s="8">
        <v>39.24479892920794</v>
      </c>
      <c r="O54" s="20">
        <v>-2.615</v>
      </c>
      <c r="P54" s="23">
        <f>23-39</f>
        <v>-16</v>
      </c>
      <c r="Q54" s="8">
        <v>37.65406529221117</v>
      </c>
      <c r="R54" s="20">
        <v>-1.312</v>
      </c>
      <c r="S54" s="23">
        <f>83-12</f>
        <v>71</v>
      </c>
      <c r="T54" s="8">
        <v>5.502176344346832</v>
      </c>
      <c r="U54" s="20">
        <v>3.057</v>
      </c>
      <c r="V54" s="23">
        <f>10-3</f>
        <v>7</v>
      </c>
      <c r="W54" s="10">
        <v>86.68931911716093</v>
      </c>
      <c r="X54" s="23">
        <f>19-7</f>
        <v>12</v>
      </c>
      <c r="Y54" s="10">
        <v>73.69903084583706</v>
      </c>
      <c r="Z54" s="23">
        <f>12-2</f>
        <v>10</v>
      </c>
      <c r="AA54" s="10">
        <v>85.91431677944524</v>
      </c>
      <c r="AB54" s="23">
        <f>2-0</f>
        <v>2</v>
      </c>
      <c r="AC54" s="10">
        <v>97.63088358388657</v>
      </c>
      <c r="AD54" s="23">
        <f>45-24</f>
        <v>21</v>
      </c>
      <c r="AE54" s="10">
        <v>31</v>
      </c>
      <c r="AF54" s="23">
        <f>11-43</f>
        <v>-32</v>
      </c>
      <c r="AG54" s="10">
        <v>45</v>
      </c>
      <c r="AH54" s="23">
        <f>16-32</f>
        <v>-16</v>
      </c>
      <c r="AI54" s="10">
        <v>52</v>
      </c>
      <c r="AJ54" s="23">
        <f>81-5</f>
        <v>76</v>
      </c>
      <c r="AK54" s="10">
        <v>13</v>
      </c>
      <c r="AL54" s="23">
        <f>44-25</f>
        <v>19</v>
      </c>
      <c r="AM54" s="10">
        <v>31</v>
      </c>
      <c r="AN54" s="23">
        <f>12-47</f>
        <v>-35</v>
      </c>
      <c r="AO54" s="10">
        <v>41</v>
      </c>
      <c r="AP54" s="23">
        <f>12-32</f>
        <v>-20</v>
      </c>
      <c r="AQ54" s="10">
        <v>56</v>
      </c>
      <c r="AR54" s="23">
        <f>80-5</f>
        <v>75</v>
      </c>
      <c r="AS54" s="10">
        <v>15</v>
      </c>
      <c r="AT54" s="25">
        <v>22.742407487821804</v>
      </c>
      <c r="AU54" s="25">
        <v>72.11493024417702</v>
      </c>
      <c r="AV54" s="25">
        <v>4.471956921067866</v>
      </c>
      <c r="AW54" s="24">
        <f t="shared" si="20"/>
        <v>18.270450566753937</v>
      </c>
      <c r="AX54" s="25">
        <v>0.6707053469333232</v>
      </c>
      <c r="AY54" s="25">
        <v>27.124611761128925</v>
      </c>
      <c r="AZ54" s="25">
        <v>71.29046944744735</v>
      </c>
      <c r="BA54" s="25">
        <v>1.5849187914237304</v>
      </c>
      <c r="BB54" s="24">
        <f t="shared" si="7"/>
        <v>25.539692969705193</v>
      </c>
      <c r="BC54" s="12">
        <v>0</v>
      </c>
      <c r="BD54" s="25">
        <v>84.02617796994718</v>
      </c>
      <c r="BE54" s="25">
        <v>15.63274525548018</v>
      </c>
      <c r="BF54" s="25">
        <v>0.3410767745726255</v>
      </c>
      <c r="BG54" s="24">
        <f t="shared" si="8"/>
        <v>83.68510119537456</v>
      </c>
      <c r="BH54" s="12">
        <v>0</v>
      </c>
      <c r="BI54" s="8">
        <v>52.04694062732844</v>
      </c>
      <c r="BJ54" s="8">
        <v>45.57969655492406</v>
      </c>
      <c r="BK54" s="8">
        <v>2.1150669217059104</v>
      </c>
      <c r="BL54" s="24">
        <f t="shared" si="9"/>
        <v>49.93187370562253</v>
      </c>
      <c r="BM54" s="8">
        <v>0.258295896041585</v>
      </c>
      <c r="BN54" s="8"/>
      <c r="BO54" s="8"/>
      <c r="BP54" s="24">
        <f>42-32</f>
        <v>10</v>
      </c>
      <c r="BQ54" s="8">
        <v>32.354743744558355</v>
      </c>
      <c r="BR54" s="22" t="s">
        <v>1</v>
      </c>
      <c r="BS54" s="22" t="s">
        <v>1</v>
      </c>
      <c r="BT54" s="22" t="s">
        <v>1</v>
      </c>
      <c r="BU54" s="22" t="s">
        <v>1</v>
      </c>
      <c r="BV54" s="24">
        <f>60-31</f>
        <v>29</v>
      </c>
      <c r="BW54" s="8">
        <v>9.24846926463738</v>
      </c>
      <c r="BX54" s="24">
        <f>31-33</f>
        <v>-2</v>
      </c>
      <c r="BY54" s="8">
        <v>35.39955981872122</v>
      </c>
      <c r="BZ54" s="24">
        <f>41-33</f>
        <v>8</v>
      </c>
      <c r="CA54" s="8">
        <v>26.411779324337736</v>
      </c>
      <c r="CB54" s="20">
        <v>-0.306</v>
      </c>
      <c r="CC54" s="22" t="s">
        <v>1</v>
      </c>
      <c r="CD54" s="22" t="s">
        <v>1</v>
      </c>
      <c r="CE54" s="22" t="s">
        <v>1</v>
      </c>
      <c r="CF54" s="22" t="s">
        <v>1</v>
      </c>
      <c r="CG54" s="22" t="s">
        <v>1</v>
      </c>
      <c r="CH54" s="22" t="s">
        <v>1</v>
      </c>
      <c r="CI54" s="8">
        <f>78-14</f>
        <v>64</v>
      </c>
      <c r="CJ54" s="8">
        <v>8.085562614767564</v>
      </c>
      <c r="CK54" s="21">
        <v>2.633</v>
      </c>
      <c r="CL54" s="24">
        <f>19-44</f>
        <v>-25</v>
      </c>
      <c r="CM54" s="8">
        <v>37.03738642470868</v>
      </c>
      <c r="CN54" s="21">
        <v>-2.011</v>
      </c>
      <c r="CO54" s="24">
        <f>14-4</f>
        <v>10</v>
      </c>
      <c r="CP54" s="10">
        <v>82</v>
      </c>
      <c r="CQ54" s="22" t="s">
        <v>1</v>
      </c>
      <c r="CR54" s="22" t="s">
        <v>1</v>
      </c>
      <c r="CS54" s="22" t="s">
        <v>1</v>
      </c>
      <c r="CT54" s="22" t="s">
        <v>1</v>
      </c>
      <c r="CU54" s="24">
        <f>2-1</f>
        <v>1</v>
      </c>
      <c r="CV54" s="10">
        <v>96.76894343833592</v>
      </c>
      <c r="CW54" s="8">
        <f>21-5</f>
        <v>16</v>
      </c>
      <c r="CX54" s="8">
        <v>74.03026598834562</v>
      </c>
      <c r="CY54" s="24">
        <f>35-28</f>
        <v>7</v>
      </c>
      <c r="CZ54" s="10">
        <v>36.88192596900068</v>
      </c>
      <c r="DA54" s="22" t="s">
        <v>1</v>
      </c>
      <c r="DB54" s="22" t="s">
        <v>1</v>
      </c>
      <c r="DC54" s="22" t="s">
        <v>1</v>
      </c>
      <c r="DD54" s="22" t="s">
        <v>1</v>
      </c>
      <c r="DE54" s="24">
        <f>73-14</f>
        <v>59</v>
      </c>
      <c r="DF54" s="25">
        <v>13.379846007198376</v>
      </c>
      <c r="DG54" s="24">
        <f>14-36</f>
        <v>-22</v>
      </c>
      <c r="DH54" s="8">
        <f>33-28</f>
        <v>5</v>
      </c>
      <c r="DI54" s="24">
        <v>39.009964238094575</v>
      </c>
      <c r="DJ54" s="25">
        <v>39.009964238094575</v>
      </c>
      <c r="DK54" s="22" t="s">
        <v>1</v>
      </c>
      <c r="DL54" s="22" t="s">
        <v>1</v>
      </c>
      <c r="DM54" s="22" t="s">
        <v>1</v>
      </c>
      <c r="DN54" s="22" t="s">
        <v>1</v>
      </c>
      <c r="DO54" s="25">
        <f>70-13</f>
        <v>57</v>
      </c>
      <c r="DP54" s="25">
        <v>17.501970833602655</v>
      </c>
      <c r="DQ54" s="24">
        <f>12-36</f>
        <v>-24</v>
      </c>
      <c r="DR54" s="8">
        <v>51.480377038252975</v>
      </c>
      <c r="DS54" s="22" t="s">
        <v>1</v>
      </c>
      <c r="DT54" s="22" t="s">
        <v>1</v>
      </c>
      <c r="DU54" s="22" t="s">
        <v>1</v>
      </c>
      <c r="DV54" s="22" t="s">
        <v>1</v>
      </c>
      <c r="DW54" s="22" t="s">
        <v>1</v>
      </c>
      <c r="DX54" s="22" t="s">
        <v>1</v>
      </c>
      <c r="DY54" s="22" t="s">
        <v>1</v>
      </c>
      <c r="DZ54" s="22" t="s">
        <v>1</v>
      </c>
      <c r="EA54" s="22" t="s">
        <v>1</v>
      </c>
      <c r="EB54" s="22" t="s">
        <v>1</v>
      </c>
      <c r="EC54" s="25">
        <v>82.17833667832515</v>
      </c>
      <c r="ED54" s="25">
        <v>15.811179218508432</v>
      </c>
      <c r="EE54" s="25">
        <v>2.0104841031664202</v>
      </c>
      <c r="EF54" s="16">
        <f t="shared" si="12"/>
        <v>80.16785257515873</v>
      </c>
      <c r="EG54" s="12">
        <v>0</v>
      </c>
      <c r="EH54" s="8">
        <v>44.76404979050427</v>
      </c>
      <c r="EI54" s="8">
        <v>50.28758305398231</v>
      </c>
      <c r="EJ54" s="8">
        <v>3.257797856080032</v>
      </c>
      <c r="EK54" s="16">
        <f t="shared" si="15"/>
        <v>41.506251934424235</v>
      </c>
      <c r="EL54" s="23">
        <v>1.6905692994333927</v>
      </c>
      <c r="EM54" s="25">
        <v>23.071110177772315</v>
      </c>
      <c r="EN54" s="25">
        <v>70.27712738792899</v>
      </c>
      <c r="EO54" s="25">
        <v>3.98099490647986</v>
      </c>
      <c r="EP54" s="24">
        <f t="shared" si="23"/>
        <v>19.090115271292454</v>
      </c>
      <c r="EQ54" s="27">
        <v>2.670767527818847</v>
      </c>
    </row>
    <row r="55" spans="1:147" ht="12">
      <c r="A55" s="1" t="s">
        <v>49</v>
      </c>
      <c r="B55" s="24">
        <f aca="true" t="shared" si="24" ref="B55:AV55">AVERAGE(B51:B54)</f>
        <v>-7.75</v>
      </c>
      <c r="C55" s="13">
        <f t="shared" si="24"/>
        <v>30.517179802616123</v>
      </c>
      <c r="D55" s="24">
        <f t="shared" si="24"/>
        <v>-10.25</v>
      </c>
      <c r="E55" s="13">
        <f t="shared" si="24"/>
        <v>46.89167453444959</v>
      </c>
      <c r="F55" s="24">
        <f t="shared" si="24"/>
        <v>-5</v>
      </c>
      <c r="G55" s="13">
        <f t="shared" si="24"/>
        <v>50.35425917729819</v>
      </c>
      <c r="H55" s="24">
        <f t="shared" si="24"/>
        <v>-9.25</v>
      </c>
      <c r="I55" s="13">
        <f t="shared" si="24"/>
        <v>11.129121654667493</v>
      </c>
      <c r="J55" s="24">
        <f t="shared" si="24"/>
        <v>27</v>
      </c>
      <c r="K55" s="13">
        <f t="shared" si="24"/>
        <v>30.557718456098392</v>
      </c>
      <c r="L55" s="21">
        <f t="shared" si="24"/>
        <v>1.39375</v>
      </c>
      <c r="M55" s="24">
        <f t="shared" si="24"/>
        <v>-15</v>
      </c>
      <c r="N55" s="13">
        <f t="shared" si="24"/>
        <v>49.811199732301986</v>
      </c>
      <c r="O55" s="21">
        <f t="shared" si="24"/>
        <v>-1.73725</v>
      </c>
      <c r="P55" s="24">
        <f t="shared" si="24"/>
        <v>-9</v>
      </c>
      <c r="Q55" s="13">
        <f t="shared" si="24"/>
        <v>45.91351632305279</v>
      </c>
      <c r="R55" s="21">
        <f t="shared" si="24"/>
        <v>-1.09025</v>
      </c>
      <c r="S55" s="24">
        <f t="shared" si="24"/>
        <v>73.25</v>
      </c>
      <c r="T55" s="13">
        <f t="shared" si="24"/>
        <v>9.625544086086709</v>
      </c>
      <c r="U55" s="21">
        <f t="shared" si="24"/>
        <v>4.75475</v>
      </c>
      <c r="V55" s="24">
        <f t="shared" si="24"/>
        <v>5.75</v>
      </c>
      <c r="W55" s="13">
        <f t="shared" si="24"/>
        <v>89.67232977929024</v>
      </c>
      <c r="X55" s="24">
        <f t="shared" si="24"/>
        <v>8.25</v>
      </c>
      <c r="Y55" s="13">
        <f t="shared" si="24"/>
        <v>81.17475771145926</v>
      </c>
      <c r="Z55" s="24">
        <f t="shared" si="24"/>
        <v>9.75</v>
      </c>
      <c r="AA55" s="13">
        <f t="shared" si="24"/>
        <v>86.22857919486131</v>
      </c>
      <c r="AB55" s="24">
        <f t="shared" si="24"/>
        <v>1.75</v>
      </c>
      <c r="AC55" s="13">
        <f t="shared" si="24"/>
        <v>98.15772089597164</v>
      </c>
      <c r="AD55" s="24">
        <f t="shared" si="24"/>
        <v>37.5</v>
      </c>
      <c r="AE55" s="13">
        <f t="shared" si="24"/>
        <v>31.5</v>
      </c>
      <c r="AF55" s="24">
        <f t="shared" si="24"/>
        <v>3.25</v>
      </c>
      <c r="AG55" s="13">
        <f t="shared" si="24"/>
        <v>45</v>
      </c>
      <c r="AH55" s="24">
        <f t="shared" si="24"/>
        <v>9</v>
      </c>
      <c r="AI55" s="13">
        <f t="shared" si="24"/>
        <v>50.75</v>
      </c>
      <c r="AJ55" s="24">
        <f t="shared" si="24"/>
        <v>73.75</v>
      </c>
      <c r="AK55" s="13">
        <f t="shared" si="24"/>
        <v>14.25</v>
      </c>
      <c r="AL55" s="24">
        <f t="shared" si="24"/>
        <v>35</v>
      </c>
      <c r="AM55" s="13">
        <f t="shared" si="24"/>
        <v>34.5</v>
      </c>
      <c r="AN55" s="24">
        <f t="shared" si="24"/>
        <v>-2.75</v>
      </c>
      <c r="AO55" s="13">
        <f t="shared" si="24"/>
        <v>47.75</v>
      </c>
      <c r="AP55" s="24">
        <f t="shared" si="24"/>
        <v>3</v>
      </c>
      <c r="AQ55" s="13">
        <f t="shared" si="24"/>
        <v>55</v>
      </c>
      <c r="AR55" s="24">
        <f t="shared" si="24"/>
        <v>75.75</v>
      </c>
      <c r="AS55" s="13">
        <f t="shared" si="24"/>
        <v>17</v>
      </c>
      <c r="AT55" s="13">
        <f t="shared" si="24"/>
        <v>24.435601871955452</v>
      </c>
      <c r="AU55" s="13">
        <f t="shared" si="24"/>
        <v>71.52873256104425</v>
      </c>
      <c r="AV55" s="13">
        <f t="shared" si="24"/>
        <v>3.1179892302669665</v>
      </c>
      <c r="AW55" s="24">
        <f t="shared" si="20"/>
        <v>21.317612641688484</v>
      </c>
      <c r="AX55" s="13">
        <f>AVERAGE(AX51:AX54)</f>
        <v>1.4176763367333307</v>
      </c>
      <c r="AY55" s="13">
        <f>AVERAGE(AY51:AY54)</f>
        <v>29.281152940282233</v>
      </c>
      <c r="AZ55" s="13">
        <f>AVERAGE(AZ51:AZ54)</f>
        <v>68.32261736186183</v>
      </c>
      <c r="BA55" s="13">
        <f>AVERAGE(BA51:BA54)</f>
        <v>1.8962296978559325</v>
      </c>
      <c r="BB55" s="24">
        <f t="shared" si="7"/>
        <v>27.3849232424263</v>
      </c>
      <c r="BC55" s="13">
        <f>AVERAGE(BC51:BC54)</f>
        <v>0.5</v>
      </c>
      <c r="BD55" s="13">
        <f>AVERAGE(BD51:BD54)</f>
        <v>83.2565444924868</v>
      </c>
      <c r="BE55" s="13">
        <f>AVERAGE(BE51:BE54)</f>
        <v>16.658186313870043</v>
      </c>
      <c r="BF55" s="13">
        <f>AVERAGE(BF51:BF54)</f>
        <v>0.08526919364315637</v>
      </c>
      <c r="BG55" s="24">
        <f t="shared" si="8"/>
        <v>83.17127529884364</v>
      </c>
      <c r="BH55" s="13">
        <f>AVERAGE(BH51:BH54)</f>
        <v>0</v>
      </c>
      <c r="BI55" s="13">
        <f>AVERAGE(BI51:BI54)</f>
        <v>52.56650904931873</v>
      </c>
      <c r="BJ55" s="13">
        <f>AVERAGE(BJ51:BJ54)</f>
        <v>45.15305688196386</v>
      </c>
      <c r="BK55" s="13">
        <f>AVERAGE(BK51:BK54)</f>
        <v>1.6429081821036144</v>
      </c>
      <c r="BL55" s="24">
        <f t="shared" si="9"/>
        <v>50.923600867215114</v>
      </c>
      <c r="BM55" s="13">
        <f>AVERAGE(BM51:BM54)</f>
        <v>0.3875258866137884</v>
      </c>
      <c r="BN55" s="13"/>
      <c r="BO55" s="13"/>
      <c r="BP55" s="24">
        <f>AVERAGE(BP51:BP54)</f>
        <v>-10.75</v>
      </c>
      <c r="BQ55" s="13">
        <f>AVERAGE(BQ51:BQ54)</f>
        <v>33.08868593613959</v>
      </c>
      <c r="BR55" s="22" t="s">
        <v>1</v>
      </c>
      <c r="BS55" s="22" t="s">
        <v>1</v>
      </c>
      <c r="BT55" s="22" t="s">
        <v>1</v>
      </c>
      <c r="BU55" s="22" t="s">
        <v>1</v>
      </c>
      <c r="BV55" s="24">
        <f aca="true" t="shared" si="25" ref="BV55:CB55">AVERAGE(BV51:BV54)</f>
        <v>-3.25</v>
      </c>
      <c r="BW55" s="13">
        <f t="shared" si="25"/>
        <v>11.562117316159345</v>
      </c>
      <c r="BX55" s="24">
        <f t="shared" si="25"/>
        <v>-15.5</v>
      </c>
      <c r="BY55" s="13">
        <f t="shared" si="25"/>
        <v>43.59988995468031</v>
      </c>
      <c r="BZ55" s="24">
        <f t="shared" si="25"/>
        <v>9.25</v>
      </c>
      <c r="CA55" s="13">
        <f t="shared" si="25"/>
        <v>30.102944831084436</v>
      </c>
      <c r="CB55" s="21">
        <f t="shared" si="25"/>
        <v>-0.194</v>
      </c>
      <c r="CC55" s="22" t="s">
        <v>1</v>
      </c>
      <c r="CD55" s="22" t="s">
        <v>1</v>
      </c>
      <c r="CE55" s="22" t="s">
        <v>1</v>
      </c>
      <c r="CF55" s="22" t="s">
        <v>1</v>
      </c>
      <c r="CG55" s="22" t="s">
        <v>1</v>
      </c>
      <c r="CH55" s="22" t="s">
        <v>1</v>
      </c>
      <c r="CI55" s="24">
        <f aca="true" t="shared" si="26" ref="CI55:CP55">AVERAGE(CI51:CI54)</f>
        <v>61.25</v>
      </c>
      <c r="CJ55" s="13">
        <f t="shared" si="26"/>
        <v>11.521390653691892</v>
      </c>
      <c r="CK55" s="21">
        <f t="shared" si="26"/>
        <v>3.02925</v>
      </c>
      <c r="CL55" s="24">
        <f t="shared" si="26"/>
        <v>-20.75</v>
      </c>
      <c r="CM55" s="8">
        <f t="shared" si="26"/>
        <v>41.25934660617717</v>
      </c>
      <c r="CN55" s="21">
        <f t="shared" si="26"/>
        <v>-2.0625</v>
      </c>
      <c r="CO55" s="24">
        <f t="shared" si="26"/>
        <v>9</v>
      </c>
      <c r="CP55" s="13">
        <f t="shared" si="26"/>
        <v>84.75</v>
      </c>
      <c r="CQ55" s="22" t="s">
        <v>1</v>
      </c>
      <c r="CR55" s="22" t="s">
        <v>1</v>
      </c>
      <c r="CS55" s="22" t="s">
        <v>1</v>
      </c>
      <c r="CT55" s="22" t="s">
        <v>1</v>
      </c>
      <c r="CU55" s="24">
        <f aca="true" t="shared" si="27" ref="CU55:CZ55">AVERAGE(CU51:CU54)</f>
        <v>2.5</v>
      </c>
      <c r="CV55" s="13">
        <f t="shared" si="27"/>
        <v>95.69223585958397</v>
      </c>
      <c r="CW55" s="13">
        <f t="shared" si="27"/>
        <v>13.25</v>
      </c>
      <c r="CX55" s="13">
        <f t="shared" si="27"/>
        <v>78.5075664970864</v>
      </c>
      <c r="CY55" s="24">
        <f t="shared" si="27"/>
        <v>25.75</v>
      </c>
      <c r="CZ55" s="13">
        <f t="shared" si="27"/>
        <v>35.72048149225017</v>
      </c>
      <c r="DA55" s="22" t="s">
        <v>1</v>
      </c>
      <c r="DB55" s="22" t="s">
        <v>1</v>
      </c>
      <c r="DC55" s="22" t="s">
        <v>1</v>
      </c>
      <c r="DD55" s="22" t="s">
        <v>1</v>
      </c>
      <c r="DE55" s="24">
        <f aca="true" t="shared" si="28" ref="DE55:DJ55">AVERAGE(DE51:DE54)</f>
        <v>60.5</v>
      </c>
      <c r="DF55" s="13">
        <f t="shared" si="28"/>
        <v>14.844961501799594</v>
      </c>
      <c r="DG55" s="24">
        <f t="shared" si="28"/>
        <v>6</v>
      </c>
      <c r="DH55" s="13">
        <f t="shared" si="28"/>
        <v>36.5</v>
      </c>
      <c r="DI55" s="24">
        <f t="shared" si="28"/>
        <v>28.502491059523642</v>
      </c>
      <c r="DJ55" s="13">
        <f t="shared" si="28"/>
        <v>42.00249105952364</v>
      </c>
      <c r="DK55" s="22" t="s">
        <v>1</v>
      </c>
      <c r="DL55" s="22" t="s">
        <v>1</v>
      </c>
      <c r="DM55" s="22" t="s">
        <v>1</v>
      </c>
      <c r="DN55" s="22" t="s">
        <v>1</v>
      </c>
      <c r="DO55" s="24">
        <f>AVERAGE(DO51:DO54)</f>
        <v>59.75</v>
      </c>
      <c r="DP55" s="13">
        <f>AVERAGE(DP51:DP54)</f>
        <v>23.375492708400664</v>
      </c>
      <c r="DQ55" s="13">
        <f>AVERAGE(DQ51:DQ54)</f>
        <v>-2.5</v>
      </c>
      <c r="DR55" s="13">
        <f>AVERAGE(DR51:DR54)</f>
        <v>52.620094259563245</v>
      </c>
      <c r="DS55" s="22" t="s">
        <v>1</v>
      </c>
      <c r="DT55" s="22" t="s">
        <v>1</v>
      </c>
      <c r="DU55" s="22" t="s">
        <v>1</v>
      </c>
      <c r="DV55" s="22" t="s">
        <v>1</v>
      </c>
      <c r="DW55" s="22" t="s">
        <v>1</v>
      </c>
      <c r="DX55" s="22" t="s">
        <v>1</v>
      </c>
      <c r="DY55" s="22" t="s">
        <v>1</v>
      </c>
      <c r="DZ55" s="22" t="s">
        <v>1</v>
      </c>
      <c r="EA55" s="22" t="s">
        <v>1</v>
      </c>
      <c r="EB55" s="22" t="s">
        <v>1</v>
      </c>
      <c r="EC55" s="13">
        <f aca="true" t="shared" si="29" ref="EC55:EO55">AVERAGE(EC51:EC54)</f>
        <v>79.29458416958128</v>
      </c>
      <c r="ED55" s="13">
        <f t="shared" si="29"/>
        <v>19.452794804627107</v>
      </c>
      <c r="EE55" s="13">
        <f t="shared" si="29"/>
        <v>0.7526210257916051</v>
      </c>
      <c r="EF55" s="13">
        <f t="shared" si="29"/>
        <v>78.54196314378969</v>
      </c>
      <c r="EG55" s="13">
        <f t="shared" si="29"/>
        <v>0</v>
      </c>
      <c r="EH55" s="13">
        <f t="shared" si="29"/>
        <v>42.311355029792786</v>
      </c>
      <c r="EI55" s="13">
        <f t="shared" si="29"/>
        <v>52.13594330327909</v>
      </c>
      <c r="EJ55" s="13">
        <f t="shared" si="29"/>
        <v>3.7895295414831196</v>
      </c>
      <c r="EK55" s="13">
        <f t="shared" si="29"/>
        <v>38.521825488309666</v>
      </c>
      <c r="EL55" s="13">
        <f t="shared" si="29"/>
        <v>1.7631721254449968</v>
      </c>
      <c r="EM55" s="13">
        <f t="shared" si="29"/>
        <v>21.017777544443078</v>
      </c>
      <c r="EN55" s="13">
        <f t="shared" si="29"/>
        <v>71.06928184698225</v>
      </c>
      <c r="EO55" s="13">
        <f t="shared" si="29"/>
        <v>5.495248726619965</v>
      </c>
      <c r="EP55" s="24">
        <f t="shared" si="23"/>
        <v>15.522528817823112</v>
      </c>
      <c r="EQ55" s="27">
        <f>AVERAGE(EQ51:EQ54)</f>
        <v>2.4176918819547115</v>
      </c>
    </row>
    <row r="56" spans="1:147" ht="12">
      <c r="A56" s="1" t="s">
        <v>53</v>
      </c>
      <c r="B56" s="24">
        <f>16-43</f>
        <v>-27</v>
      </c>
      <c r="C56" s="8">
        <v>41.00311296730468</v>
      </c>
      <c r="D56" s="23">
        <f>5-45</f>
        <v>-40</v>
      </c>
      <c r="E56" s="8">
        <v>49.929196676738016</v>
      </c>
      <c r="F56" s="23">
        <f>13-34</f>
        <v>-21</v>
      </c>
      <c r="G56" s="8">
        <v>52.61356727417781</v>
      </c>
      <c r="H56" s="23">
        <f>27-44</f>
        <v>-17</v>
      </c>
      <c r="I56" s="8">
        <v>29.770227818725132</v>
      </c>
      <c r="J56" s="23">
        <f>31-33</f>
        <v>-2</v>
      </c>
      <c r="K56" s="8">
        <v>35.83632185187301</v>
      </c>
      <c r="L56" s="20">
        <v>-0.106</v>
      </c>
      <c r="M56" s="23">
        <f>16-37</f>
        <v>-21</v>
      </c>
      <c r="N56" s="8">
        <v>47.21991594010992</v>
      </c>
      <c r="O56" s="20">
        <v>-2.245</v>
      </c>
      <c r="P56" s="23">
        <f>16-36</f>
        <v>-20</v>
      </c>
      <c r="Q56" s="8">
        <v>47.779113636637476</v>
      </c>
      <c r="R56" s="20">
        <v>-2.028</v>
      </c>
      <c r="S56" s="23">
        <f>48-30</f>
        <v>18</v>
      </c>
      <c r="T56" s="8">
        <v>22.44008048793646</v>
      </c>
      <c r="U56" s="20">
        <v>2.306</v>
      </c>
      <c r="V56" s="23">
        <f>15-2</f>
        <v>13</v>
      </c>
      <c r="W56" s="10">
        <v>82.48456403940253</v>
      </c>
      <c r="X56" s="23">
        <f>11-4</f>
        <v>7</v>
      </c>
      <c r="Y56" s="10">
        <v>84.87028044290575</v>
      </c>
      <c r="Z56" s="23">
        <f>9-3</f>
        <v>6</v>
      </c>
      <c r="AA56" s="10">
        <v>87.74721032058986</v>
      </c>
      <c r="AB56" s="23">
        <f>21-1</f>
        <v>20</v>
      </c>
      <c r="AC56" s="10">
        <v>78.78169026859753</v>
      </c>
      <c r="AD56" s="23">
        <f>20-12</f>
        <v>8</v>
      </c>
      <c r="AE56" s="10">
        <v>67.09353256942894</v>
      </c>
      <c r="AF56" s="23">
        <f>19-21</f>
        <v>-2</v>
      </c>
      <c r="AG56" s="10">
        <v>60.844154498137335</v>
      </c>
      <c r="AH56" s="23">
        <f>20-16</f>
        <v>4</v>
      </c>
      <c r="AI56" s="10">
        <v>64.4492666969555</v>
      </c>
      <c r="AJ56" s="23">
        <f>22-5</f>
        <v>17</v>
      </c>
      <c r="AK56" s="10">
        <v>73.17859071567308</v>
      </c>
      <c r="AL56" s="23">
        <f>15-14</f>
        <v>1</v>
      </c>
      <c r="AM56" s="10">
        <v>71.22407640146612</v>
      </c>
      <c r="AN56" s="23">
        <f>14-21</f>
        <v>-7</v>
      </c>
      <c r="AO56" s="10">
        <v>64.34648761294869</v>
      </c>
      <c r="AP56" s="23">
        <f>18-21</f>
        <v>-3</v>
      </c>
      <c r="AQ56" s="10">
        <v>61.58842015116662</v>
      </c>
      <c r="AR56" s="23">
        <f>14-6</f>
        <v>8</v>
      </c>
      <c r="AS56" s="10">
        <v>80.10284507725565</v>
      </c>
      <c r="AT56" s="25">
        <v>27.97774836362736</v>
      </c>
      <c r="AU56" s="25">
        <v>69.48084874912506</v>
      </c>
      <c r="AV56" s="25">
        <v>2.396390426298395</v>
      </c>
      <c r="AW56" s="24">
        <f t="shared" si="20"/>
        <v>25.581357937328963</v>
      </c>
      <c r="AX56" s="25">
        <v>0.14501246094919062</v>
      </c>
      <c r="AY56" s="25">
        <v>32.95790415416558</v>
      </c>
      <c r="AZ56" s="25">
        <v>64.84322188583593</v>
      </c>
      <c r="BA56" s="25">
        <v>1.9840633495843605</v>
      </c>
      <c r="BB56" s="24">
        <f aca="true" t="shared" si="30" ref="BB56:BB65">AY56-BA56</f>
        <v>30.973840804581222</v>
      </c>
      <c r="BC56" s="25">
        <v>0.2148106104141186</v>
      </c>
      <c r="BD56" s="25">
        <v>79.51857474683625</v>
      </c>
      <c r="BE56" s="25">
        <v>20.409771334070413</v>
      </c>
      <c r="BF56" s="25">
        <v>0.07165391909334062</v>
      </c>
      <c r="BG56" s="24">
        <f aca="true" t="shared" si="31" ref="BG56:BG65">BD56-BF56</f>
        <v>79.44692082774291</v>
      </c>
      <c r="BH56" s="12">
        <v>0</v>
      </c>
      <c r="BI56" s="8">
        <v>52.57741699537352</v>
      </c>
      <c r="BJ56" s="8">
        <v>46.075552462418216</v>
      </c>
      <c r="BK56" s="8">
        <v>1.2586469967282674</v>
      </c>
      <c r="BL56" s="24">
        <f aca="true" t="shared" si="32" ref="BL56:BL65">BI56-BK56</f>
        <v>51.31876999864525</v>
      </c>
      <c r="BM56" s="8">
        <v>0.08838354548000273</v>
      </c>
      <c r="BN56" s="8"/>
      <c r="BO56" s="8"/>
      <c r="BP56" s="24">
        <f>12-44</f>
        <v>-32</v>
      </c>
      <c r="BQ56" s="8">
        <v>43.87320639896642</v>
      </c>
      <c r="BR56" s="22" t="s">
        <v>1</v>
      </c>
      <c r="BS56" s="22" t="s">
        <v>1</v>
      </c>
      <c r="BT56" s="22" t="s">
        <v>1</v>
      </c>
      <c r="BU56" s="22" t="s">
        <v>1</v>
      </c>
      <c r="BV56" s="24">
        <f>22-34</f>
        <v>-12</v>
      </c>
      <c r="BW56" s="8">
        <v>43.91260043939973</v>
      </c>
      <c r="BX56" s="24">
        <f>6-50</f>
        <v>-44</v>
      </c>
      <c r="BY56" s="8">
        <v>43.849869862875536</v>
      </c>
      <c r="BZ56" s="24">
        <f>19-38</f>
        <v>-19</v>
      </c>
      <c r="CA56" s="8">
        <v>43.188734385794284</v>
      </c>
      <c r="CB56" s="20">
        <v>-2.469</v>
      </c>
      <c r="CC56" s="22" t="s">
        <v>1</v>
      </c>
      <c r="CD56" s="22" t="s">
        <v>1</v>
      </c>
      <c r="CE56" s="22" t="s">
        <v>1</v>
      </c>
      <c r="CF56" s="22" t="s">
        <v>1</v>
      </c>
      <c r="CG56" s="22" t="s">
        <v>1</v>
      </c>
      <c r="CH56" s="22" t="s">
        <v>1</v>
      </c>
      <c r="CI56" s="24">
        <f>41-23</f>
        <v>18</v>
      </c>
      <c r="CJ56" s="8">
        <v>35.778116118582155</v>
      </c>
      <c r="CK56" s="21">
        <v>2.01</v>
      </c>
      <c r="CL56" s="24">
        <f>5-47</f>
        <v>-42</v>
      </c>
      <c r="CM56" s="8">
        <v>47.57869181961928</v>
      </c>
      <c r="CN56" s="21">
        <v>-5.122</v>
      </c>
      <c r="CO56" s="24">
        <f>22-3</f>
        <v>19</v>
      </c>
      <c r="CP56" s="10">
        <v>74.87527025281817</v>
      </c>
      <c r="CQ56" s="22" t="s">
        <v>1</v>
      </c>
      <c r="CR56" s="22" t="s">
        <v>1</v>
      </c>
      <c r="CS56" s="22" t="s">
        <v>1</v>
      </c>
      <c r="CT56" s="22" t="s">
        <v>1</v>
      </c>
      <c r="CU56" s="24">
        <f>13-2</f>
        <v>11</v>
      </c>
      <c r="CV56" s="10">
        <v>84.11970973609813</v>
      </c>
      <c r="CW56" s="8">
        <f>27-4</f>
        <v>23</v>
      </c>
      <c r="CX56" s="8">
        <v>69.39898010160015</v>
      </c>
      <c r="CY56" s="24">
        <f>27-17</f>
        <v>10</v>
      </c>
      <c r="CZ56" s="10">
        <v>55.40163059114865</v>
      </c>
      <c r="DA56" s="22" t="s">
        <v>1</v>
      </c>
      <c r="DB56" s="22" t="s">
        <v>1</v>
      </c>
      <c r="DC56" s="22" t="s">
        <v>1</v>
      </c>
      <c r="DD56" s="22" t="s">
        <v>1</v>
      </c>
      <c r="DE56" s="24">
        <f>39-5</f>
        <v>34</v>
      </c>
      <c r="DF56" s="25">
        <v>55.654307431079</v>
      </c>
      <c r="DG56" s="24">
        <f>20-24</f>
        <v>-4</v>
      </c>
      <c r="DH56" s="8">
        <v>55.2519479962813</v>
      </c>
      <c r="DI56" s="24">
        <f>20-19</f>
        <v>1</v>
      </c>
      <c r="DJ56" s="12">
        <v>60</v>
      </c>
      <c r="DK56" s="22" t="s">
        <v>1</v>
      </c>
      <c r="DL56" s="22" t="s">
        <v>1</v>
      </c>
      <c r="DM56" s="22" t="s">
        <v>1</v>
      </c>
      <c r="DN56" s="22" t="s">
        <v>1</v>
      </c>
      <c r="DO56" s="24">
        <f>21-7</f>
        <v>14</v>
      </c>
      <c r="DP56" s="25">
        <v>72.34411879926975</v>
      </c>
      <c r="DQ56" s="24">
        <f>20-27</f>
        <v>-7</v>
      </c>
      <c r="DR56" s="8">
        <v>53.26222405919546</v>
      </c>
      <c r="DS56" s="22" t="s">
        <v>1</v>
      </c>
      <c r="DT56" s="22" t="s">
        <v>1</v>
      </c>
      <c r="DU56" s="22" t="s">
        <v>1</v>
      </c>
      <c r="DV56" s="22" t="s">
        <v>1</v>
      </c>
      <c r="DW56" s="22" t="s">
        <v>1</v>
      </c>
      <c r="DX56" s="22" t="s">
        <v>1</v>
      </c>
      <c r="DY56" s="22" t="s">
        <v>1</v>
      </c>
      <c r="DZ56" s="22" t="s">
        <v>1</v>
      </c>
      <c r="EA56" s="22" t="s">
        <v>1</v>
      </c>
      <c r="EB56" s="22" t="s">
        <v>1</v>
      </c>
      <c r="EC56" s="25">
        <v>61.26557786831116</v>
      </c>
      <c r="ED56" s="25">
        <v>38.289079590543054</v>
      </c>
      <c r="EE56" s="25">
        <v>0.29084288486869847</v>
      </c>
      <c r="EF56" s="16">
        <f t="shared" si="12"/>
        <v>60.97473498344247</v>
      </c>
      <c r="EG56" s="25">
        <v>0.1544996562770858</v>
      </c>
      <c r="EH56" s="8">
        <v>39.28023952111091</v>
      </c>
      <c r="EI56" s="8">
        <v>56.964527429852254</v>
      </c>
      <c r="EJ56" s="8">
        <v>3.4919979577663156</v>
      </c>
      <c r="EK56" s="16">
        <f t="shared" si="15"/>
        <v>35.78824156334459</v>
      </c>
      <c r="EL56" s="23">
        <v>0.2632350912705265</v>
      </c>
      <c r="EM56" s="25">
        <v>26.25640047930335</v>
      </c>
      <c r="EN56" s="25">
        <v>68.02762879548621</v>
      </c>
      <c r="EO56" s="25">
        <v>5.3883221243031265</v>
      </c>
      <c r="EP56" s="24">
        <f t="shared" si="23"/>
        <v>20.868078355000222</v>
      </c>
      <c r="EQ56" s="26">
        <v>0.32764860090731784</v>
      </c>
    </row>
    <row r="57" spans="1:147" ht="12">
      <c r="A57" s="1" t="s">
        <v>36</v>
      </c>
      <c r="B57" s="24">
        <f>17-30</f>
        <v>-13</v>
      </c>
      <c r="C57" s="8">
        <v>53.274673555745366</v>
      </c>
      <c r="D57" s="23">
        <f>19-33</f>
        <v>-14</v>
      </c>
      <c r="E57" s="8">
        <v>48.75793130094367</v>
      </c>
      <c r="F57" s="23">
        <f>16-39</f>
        <v>-23</v>
      </c>
      <c r="G57" s="8">
        <v>45.38988453990772</v>
      </c>
      <c r="H57" s="23">
        <f>16-25</f>
        <v>-9</v>
      </c>
      <c r="I57" s="8">
        <v>59.61071681973809</v>
      </c>
      <c r="J57" s="23">
        <f>26-25</f>
        <v>1</v>
      </c>
      <c r="K57" s="8">
        <v>49.24700035331103</v>
      </c>
      <c r="L57" s="20">
        <v>-0.472</v>
      </c>
      <c r="M57" s="23">
        <f>12-33</f>
        <v>-21</v>
      </c>
      <c r="N57" s="8">
        <v>55.478850540076095</v>
      </c>
      <c r="O57" s="20">
        <v>-1.8</v>
      </c>
      <c r="P57" s="23">
        <f>16-36</f>
        <v>-20</v>
      </c>
      <c r="Q57" s="8">
        <v>48.15540915231837</v>
      </c>
      <c r="R57" s="20">
        <v>-2.003</v>
      </c>
      <c r="S57" s="23">
        <f>41-15</f>
        <v>26</v>
      </c>
      <c r="T57" s="8">
        <v>44.38864842312088</v>
      </c>
      <c r="U57" s="20">
        <v>1.135</v>
      </c>
      <c r="V57" s="23">
        <f>16-1</f>
        <v>15</v>
      </c>
      <c r="W57" s="10">
        <v>83.17099269566548</v>
      </c>
      <c r="X57" s="23">
        <f>13-2</f>
        <v>11</v>
      </c>
      <c r="Y57" s="10">
        <v>84.27567289900301</v>
      </c>
      <c r="Z57" s="23">
        <f>8-2</f>
        <v>6</v>
      </c>
      <c r="AA57" s="10">
        <v>89.99040194012518</v>
      </c>
      <c r="AB57" s="23">
        <f>20-0</f>
        <v>20</v>
      </c>
      <c r="AC57" s="10">
        <v>80.03454586995097</v>
      </c>
      <c r="AD57" s="23">
        <f>29-16</f>
        <v>13</v>
      </c>
      <c r="AE57" s="10">
        <v>55.75529985038098</v>
      </c>
      <c r="AF57" s="23">
        <f>20-26</f>
        <v>-6</v>
      </c>
      <c r="AG57" s="10">
        <v>53.972788852081266</v>
      </c>
      <c r="AH57" s="23">
        <f>15-21</f>
        <v>-6</v>
      </c>
      <c r="AI57" s="10">
        <v>63.78755668516972</v>
      </c>
      <c r="AJ57" s="23">
        <f>40-5</f>
        <v>35</v>
      </c>
      <c r="AK57" s="10">
        <v>54.64029375021299</v>
      </c>
      <c r="AL57" s="23">
        <f>24-18</f>
        <v>6</v>
      </c>
      <c r="AM57" s="10">
        <v>58.03270096845961</v>
      </c>
      <c r="AN57" s="23">
        <f>15-29</f>
        <v>-14</v>
      </c>
      <c r="AO57" s="10">
        <v>56.829762635375424</v>
      </c>
      <c r="AP57" s="23">
        <f>9-28</f>
        <v>-19</v>
      </c>
      <c r="AQ57" s="10">
        <v>62.18423317819259</v>
      </c>
      <c r="AR57" s="23">
        <f>37-6</f>
        <v>31</v>
      </c>
      <c r="AS57" s="10">
        <v>57.69196879925644</v>
      </c>
      <c r="AT57" s="25">
        <v>21.405655419664626</v>
      </c>
      <c r="AU57" s="25">
        <v>72.41553844085595</v>
      </c>
      <c r="AV57" s="25">
        <v>5.994103791506121</v>
      </c>
      <c r="AW57" s="24">
        <f aca="true" t="shared" si="33" ref="AW57:AW65">AT57-AV57</f>
        <v>15.411551628158506</v>
      </c>
      <c r="AX57" s="25">
        <v>0.1847023479732963</v>
      </c>
      <c r="AY57" s="25">
        <v>30.267765822627148</v>
      </c>
      <c r="AZ57" s="25">
        <v>67.4918872447275</v>
      </c>
      <c r="BA57" s="25">
        <v>2.0705381272923598</v>
      </c>
      <c r="BB57" s="24">
        <f t="shared" si="30"/>
        <v>28.19722769533479</v>
      </c>
      <c r="BC57" s="25">
        <v>0.16980880535301007</v>
      </c>
      <c r="BD57" s="25">
        <v>76.3151434419019</v>
      </c>
      <c r="BE57" s="25">
        <v>22.43049346231192</v>
      </c>
      <c r="BF57" s="25">
        <v>1.2543630957861902</v>
      </c>
      <c r="BG57" s="24">
        <f t="shared" si="31"/>
        <v>75.0607803461157</v>
      </c>
      <c r="BH57" s="12">
        <v>0</v>
      </c>
      <c r="BI57" s="8">
        <v>48.1471079891439</v>
      </c>
      <c r="BJ57" s="8">
        <v>48.54433429059018</v>
      </c>
      <c r="BK57" s="8">
        <v>3.2115676224934457</v>
      </c>
      <c r="BL57" s="24">
        <f t="shared" si="32"/>
        <v>44.93554036665045</v>
      </c>
      <c r="BM57" s="8">
        <v>0.09699009777247929</v>
      </c>
      <c r="BN57" s="8"/>
      <c r="BO57" s="8"/>
      <c r="BP57" s="24">
        <f>17-33</f>
        <v>-16</v>
      </c>
      <c r="BQ57" s="8">
        <v>50.121770431311376</v>
      </c>
      <c r="BR57" s="22" t="s">
        <v>1</v>
      </c>
      <c r="BS57" s="22" t="s">
        <v>1</v>
      </c>
      <c r="BT57" s="22" t="s">
        <v>1</v>
      </c>
      <c r="BU57" s="22" t="s">
        <v>1</v>
      </c>
      <c r="BV57" s="24">
        <f>29-18</f>
        <v>11</v>
      </c>
      <c r="BW57" s="8">
        <v>53.24849650656069</v>
      </c>
      <c r="BX57" s="24">
        <f>11-41</f>
        <v>-30</v>
      </c>
      <c r="BY57" s="8">
        <v>48.26953707066102</v>
      </c>
      <c r="BZ57" s="24">
        <f>19-41</f>
        <v>-22</v>
      </c>
      <c r="CA57" s="8">
        <v>39.82158919527406</v>
      </c>
      <c r="CB57" s="20">
        <v>-2.828</v>
      </c>
      <c r="CC57" s="22" t="s">
        <v>1</v>
      </c>
      <c r="CD57" s="22" t="s">
        <v>1</v>
      </c>
      <c r="CE57" s="22" t="s">
        <v>1</v>
      </c>
      <c r="CF57" s="22" t="s">
        <v>1</v>
      </c>
      <c r="CG57" s="22" t="s">
        <v>1</v>
      </c>
      <c r="CH57" s="22" t="s">
        <v>1</v>
      </c>
      <c r="CI57" s="24">
        <f>38-27</f>
        <v>11</v>
      </c>
      <c r="CJ57" s="8">
        <v>35.12417825883205</v>
      </c>
      <c r="CK57" s="21">
        <v>0.609</v>
      </c>
      <c r="CL57" s="24">
        <f>8-49</f>
        <v>-41</v>
      </c>
      <c r="CM57" s="8">
        <v>42.60427659281588</v>
      </c>
      <c r="CN57" s="21">
        <v>-4.865</v>
      </c>
      <c r="CO57" s="24">
        <f>19-1</f>
        <v>18</v>
      </c>
      <c r="CP57" s="10">
        <v>80.33607841354291</v>
      </c>
      <c r="CQ57" s="22" t="s">
        <v>1</v>
      </c>
      <c r="CR57" s="22" t="s">
        <v>1</v>
      </c>
      <c r="CS57" s="22" t="s">
        <v>1</v>
      </c>
      <c r="CT57" s="22" t="s">
        <v>1</v>
      </c>
      <c r="CU57" s="24">
        <f>11-0</f>
        <v>11</v>
      </c>
      <c r="CV57" s="10">
        <v>89.23414847260693</v>
      </c>
      <c r="CW57" s="8">
        <f>23-2</f>
        <v>21</v>
      </c>
      <c r="CX57" s="8">
        <v>75.06497317050102</v>
      </c>
      <c r="CY57" s="24">
        <f>32-23</f>
        <v>9</v>
      </c>
      <c r="CZ57" s="10">
        <v>45</v>
      </c>
      <c r="DA57" s="22" t="s">
        <v>1</v>
      </c>
      <c r="DB57" s="22" t="s">
        <v>1</v>
      </c>
      <c r="DC57" s="22" t="s">
        <v>1</v>
      </c>
      <c r="DD57" s="22" t="s">
        <v>1</v>
      </c>
      <c r="DE57" s="24">
        <f>44-10</f>
        <v>34</v>
      </c>
      <c r="DF57" s="25">
        <v>46</v>
      </c>
      <c r="DG57" s="24">
        <f>24-31</f>
        <v>-7</v>
      </c>
      <c r="DH57" s="8">
        <v>44.2408037339851</v>
      </c>
      <c r="DI57" s="24">
        <f>27-22</f>
        <v>5</v>
      </c>
      <c r="DJ57" s="25">
        <v>51.48164098806951</v>
      </c>
      <c r="DK57" s="22" t="s">
        <v>1</v>
      </c>
      <c r="DL57" s="22" t="s">
        <v>1</v>
      </c>
      <c r="DM57" s="22" t="s">
        <v>1</v>
      </c>
      <c r="DN57" s="22" t="s">
        <v>1</v>
      </c>
      <c r="DO57" s="24">
        <f>41-12</f>
        <v>29</v>
      </c>
      <c r="DP57" s="25">
        <v>46.94722026254736</v>
      </c>
      <c r="DQ57" s="24">
        <f>19-27</f>
        <v>-8</v>
      </c>
      <c r="DR57" s="8">
        <v>54.16777502632765</v>
      </c>
      <c r="DS57" s="22" t="s">
        <v>1</v>
      </c>
      <c r="DT57" s="22" t="s">
        <v>1</v>
      </c>
      <c r="DU57" s="22" t="s">
        <v>1</v>
      </c>
      <c r="DV57" s="22" t="s">
        <v>1</v>
      </c>
      <c r="DW57" s="22" t="s">
        <v>1</v>
      </c>
      <c r="DX57" s="22" t="s">
        <v>1</v>
      </c>
      <c r="DY57" s="22" t="s">
        <v>1</v>
      </c>
      <c r="DZ57" s="22" t="s">
        <v>1</v>
      </c>
      <c r="EA57" s="22" t="s">
        <v>1</v>
      </c>
      <c r="EB57" s="22" t="s">
        <v>1</v>
      </c>
      <c r="EC57" s="25">
        <v>62.66490526115056</v>
      </c>
      <c r="ED57" s="25">
        <v>31.29158747940498</v>
      </c>
      <c r="EE57" s="25">
        <v>6.043507259444459</v>
      </c>
      <c r="EF57" s="16">
        <f t="shared" si="12"/>
        <v>56.6213980017061</v>
      </c>
      <c r="EG57" s="12">
        <v>0</v>
      </c>
      <c r="EH57" s="8">
        <v>36.69280308549438</v>
      </c>
      <c r="EI57" s="8">
        <v>53.87415306556487</v>
      </c>
      <c r="EJ57" s="8">
        <v>8.443713477680335</v>
      </c>
      <c r="EK57" s="16">
        <f t="shared" si="15"/>
        <v>28.24908960781405</v>
      </c>
      <c r="EL57" s="23">
        <v>0.9893303712604098</v>
      </c>
      <c r="EM57" s="25">
        <v>21.30725509113288</v>
      </c>
      <c r="EN57" s="25">
        <v>67.25178204268101</v>
      </c>
      <c r="EO57" s="25">
        <v>9.865565575645912</v>
      </c>
      <c r="EP57" s="24">
        <f t="shared" si="23"/>
        <v>11.441689515486969</v>
      </c>
      <c r="EQ57" s="27">
        <v>1.5753972905401914</v>
      </c>
    </row>
    <row r="58" spans="1:147" ht="12">
      <c r="A58" s="1" t="s">
        <v>32</v>
      </c>
      <c r="B58" s="24">
        <f>22-37</f>
        <v>-15</v>
      </c>
      <c r="C58" s="8">
        <v>40.91921966170652</v>
      </c>
      <c r="D58" s="23">
        <f>11-41</f>
        <v>-30</v>
      </c>
      <c r="E58" s="8">
        <v>48.11473871602761</v>
      </c>
      <c r="F58" s="23">
        <f>13-40</f>
        <v>-27</v>
      </c>
      <c r="G58" s="8">
        <v>46.94455301624208</v>
      </c>
      <c r="H58" s="23">
        <f>34-33</f>
        <v>1</v>
      </c>
      <c r="I58" s="8">
        <v>32.945842355033925</v>
      </c>
      <c r="J58" s="23">
        <f>33-31</f>
        <v>2</v>
      </c>
      <c r="K58" s="8">
        <v>36.114589296551195</v>
      </c>
      <c r="L58" s="20">
        <v>-0.864</v>
      </c>
      <c r="M58" s="23">
        <f>13-42</f>
        <v>-29</v>
      </c>
      <c r="N58" s="8">
        <v>44.67531928342004</v>
      </c>
      <c r="O58" s="20">
        <v>-3.06</v>
      </c>
      <c r="P58" s="23">
        <f>15-42</f>
        <v>-27</v>
      </c>
      <c r="Q58" s="8">
        <v>43.62973592072316</v>
      </c>
      <c r="R58" s="20">
        <v>-2.374</v>
      </c>
      <c r="S58" s="23">
        <f>55-19</f>
        <v>36</v>
      </c>
      <c r="T58" s="8">
        <v>26.515960748770873</v>
      </c>
      <c r="U58" s="20">
        <v>1.461</v>
      </c>
      <c r="V58" s="23">
        <f>11-4</f>
        <v>7</v>
      </c>
      <c r="W58" s="10">
        <v>85.83367429996235</v>
      </c>
      <c r="X58" s="23">
        <f>13-8</f>
        <v>5</v>
      </c>
      <c r="Y58" s="10">
        <v>79.44819349406039</v>
      </c>
      <c r="Z58" s="23">
        <f>19-3</f>
        <v>16</v>
      </c>
      <c r="AA58" s="10">
        <v>78.30940246978292</v>
      </c>
      <c r="AB58" s="23">
        <f>6-0</f>
        <v>6</v>
      </c>
      <c r="AC58" s="10">
        <v>93.615820895612</v>
      </c>
      <c r="AD58" s="23">
        <f>41-24</f>
        <v>17</v>
      </c>
      <c r="AE58" s="10">
        <v>35.45112195758334</v>
      </c>
      <c r="AF58" s="23">
        <f>29-24</f>
        <v>5</v>
      </c>
      <c r="AG58" s="10">
        <v>47.14978928113385</v>
      </c>
      <c r="AH58" s="23">
        <f>32-19</f>
        <v>13</v>
      </c>
      <c r="AI58" s="10">
        <v>49.636718439372174</v>
      </c>
      <c r="AJ58" s="23">
        <f>54-25</f>
        <v>29</v>
      </c>
      <c r="AK58" s="10">
        <v>21.06369816277898</v>
      </c>
      <c r="AL58" s="23">
        <f>32-24</f>
        <v>8</v>
      </c>
      <c r="AM58" s="10">
        <v>44.87731087676336</v>
      </c>
      <c r="AN58" s="23">
        <f>25-24</f>
        <v>1</v>
      </c>
      <c r="AO58" s="10">
        <v>50.77481485806863</v>
      </c>
      <c r="AP58" s="23">
        <f>25-18</f>
        <v>7</v>
      </c>
      <c r="AQ58" s="10">
        <v>57.476725758732385</v>
      </c>
      <c r="AR58" s="23">
        <f>39-25</f>
        <v>14</v>
      </c>
      <c r="AS58" s="10">
        <v>35.85676492124075</v>
      </c>
      <c r="AT58" s="25">
        <v>16.671825916713246</v>
      </c>
      <c r="AU58" s="25">
        <v>77.54650774863646</v>
      </c>
      <c r="AV58" s="25">
        <v>4.61597189451432</v>
      </c>
      <c r="AW58" s="24">
        <f t="shared" si="33"/>
        <v>12.055854022198925</v>
      </c>
      <c r="AX58" s="25">
        <v>1.1656944401359814</v>
      </c>
      <c r="AY58" s="25">
        <v>23.941139025316748</v>
      </c>
      <c r="AZ58" s="25">
        <v>73.25688625798823</v>
      </c>
      <c r="BA58" s="25">
        <v>2.2768732746330165</v>
      </c>
      <c r="BB58" s="24">
        <f t="shared" si="30"/>
        <v>21.664265750683732</v>
      </c>
      <c r="BC58" s="25">
        <v>0.5251014420620093</v>
      </c>
      <c r="BD58" s="25">
        <v>40.48789129452887</v>
      </c>
      <c r="BE58" s="25">
        <v>58.881758884449056</v>
      </c>
      <c r="BF58" s="25">
        <v>0.5740359608241489</v>
      </c>
      <c r="BG58" s="24">
        <f t="shared" si="31"/>
        <v>39.913855333704724</v>
      </c>
      <c r="BH58" s="25">
        <v>0.05631386019792828</v>
      </c>
      <c r="BI58" s="8">
        <v>28.784793723572893</v>
      </c>
      <c r="BJ58" s="8">
        <v>68.26482944827816</v>
      </c>
      <c r="BK58" s="8">
        <v>2.3942585164622088</v>
      </c>
      <c r="BL58" s="24">
        <f t="shared" si="32"/>
        <v>26.390535207110684</v>
      </c>
      <c r="BM58" s="8">
        <v>0.5561183116867366</v>
      </c>
      <c r="BN58" s="8"/>
      <c r="BO58" s="8"/>
      <c r="BP58" s="24">
        <f>21-31</f>
        <v>-10</v>
      </c>
      <c r="BQ58" s="8">
        <v>47.39386342409283</v>
      </c>
      <c r="BR58" s="22" t="s">
        <v>1</v>
      </c>
      <c r="BS58" s="22" t="s">
        <v>1</v>
      </c>
      <c r="BT58" s="22" t="s">
        <v>1</v>
      </c>
      <c r="BU58" s="22" t="s">
        <v>1</v>
      </c>
      <c r="BV58" s="24">
        <f>35-18</f>
        <v>17</v>
      </c>
      <c r="BW58" s="8">
        <v>47.7595007588199</v>
      </c>
      <c r="BX58" s="24">
        <f>13-40</f>
        <v>-27</v>
      </c>
      <c r="BY58" s="8">
        <v>47.177264447085626</v>
      </c>
      <c r="BZ58" s="24">
        <f>21-37</f>
        <v>-16</v>
      </c>
      <c r="CA58" s="8">
        <v>42.0258266476073</v>
      </c>
      <c r="CB58" s="20">
        <v>-3.262</v>
      </c>
      <c r="CC58" s="22" t="s">
        <v>1</v>
      </c>
      <c r="CD58" s="22" t="s">
        <v>1</v>
      </c>
      <c r="CE58" s="22" t="s">
        <v>1</v>
      </c>
      <c r="CF58" s="22" t="s">
        <v>1</v>
      </c>
      <c r="CG58" s="22" t="s">
        <v>1</v>
      </c>
      <c r="CH58" s="22" t="s">
        <v>1</v>
      </c>
      <c r="CI58" s="24">
        <f>33-25</f>
        <v>8</v>
      </c>
      <c r="CJ58" s="8">
        <v>41.74354967856011</v>
      </c>
      <c r="CK58" s="21">
        <v>-0.371</v>
      </c>
      <c r="CL58" s="24">
        <f>14-44</f>
        <v>-30</v>
      </c>
      <c r="CM58" s="8">
        <v>42.1930439881832</v>
      </c>
      <c r="CN58" s="21">
        <v>-4.974</v>
      </c>
      <c r="CO58" s="24">
        <f>14-3</f>
        <v>11</v>
      </c>
      <c r="CP58" s="10">
        <v>83.13273927238907</v>
      </c>
      <c r="CQ58" s="22" t="s">
        <v>1</v>
      </c>
      <c r="CR58" s="22" t="s">
        <v>1</v>
      </c>
      <c r="CS58" s="22" t="s">
        <v>1</v>
      </c>
      <c r="CT58" s="22" t="s">
        <v>1</v>
      </c>
      <c r="CU58" s="24">
        <f>5-1</f>
        <v>4</v>
      </c>
      <c r="CV58" s="10">
        <v>93.91693923574357</v>
      </c>
      <c r="CW58" s="8">
        <f>19-4</f>
        <v>15</v>
      </c>
      <c r="CX58" s="8">
        <v>76.7443143002857</v>
      </c>
      <c r="CY58" s="24">
        <f>38-20</f>
        <v>18</v>
      </c>
      <c r="CZ58" s="10">
        <v>41.60673374850954</v>
      </c>
      <c r="DA58" s="22" t="s">
        <v>1</v>
      </c>
      <c r="DB58" s="22" t="s">
        <v>1</v>
      </c>
      <c r="DC58" s="22" t="s">
        <v>1</v>
      </c>
      <c r="DD58" s="22" t="s">
        <v>1</v>
      </c>
      <c r="DE58" s="24">
        <f>65-10</f>
        <v>55</v>
      </c>
      <c r="DF58" s="25">
        <v>25.18018853337886</v>
      </c>
      <c r="DG58" s="24">
        <f>22-26</f>
        <v>-4</v>
      </c>
      <c r="DH58" s="8">
        <v>51.3376133700224</v>
      </c>
      <c r="DI58" s="24">
        <f>31-20</f>
        <v>11</v>
      </c>
      <c r="DJ58" s="25">
        <v>49.13088919145841</v>
      </c>
      <c r="DK58" s="22" t="s">
        <v>1</v>
      </c>
      <c r="DL58" s="22" t="s">
        <v>1</v>
      </c>
      <c r="DM58" s="22" t="s">
        <v>1</v>
      </c>
      <c r="DN58" s="22" t="s">
        <v>1</v>
      </c>
      <c r="DO58" s="24">
        <f>49-9</f>
        <v>40</v>
      </c>
      <c r="DP58" s="25">
        <v>42.45687233775982</v>
      </c>
      <c r="DQ58" s="24">
        <f>20-26</f>
        <v>-6</v>
      </c>
      <c r="DR58" s="8">
        <v>53.08449317481263</v>
      </c>
      <c r="DS58" s="22" t="s">
        <v>1</v>
      </c>
      <c r="DT58" s="22" t="s">
        <v>1</v>
      </c>
      <c r="DU58" s="22" t="s">
        <v>1</v>
      </c>
      <c r="DV58" s="22" t="s">
        <v>1</v>
      </c>
      <c r="DW58" s="22" t="s">
        <v>1</v>
      </c>
      <c r="DX58" s="22" t="s">
        <v>1</v>
      </c>
      <c r="DY58" s="22" t="s">
        <v>1</v>
      </c>
      <c r="DZ58" s="22" t="s">
        <v>1</v>
      </c>
      <c r="EA58" s="22" t="s">
        <v>1</v>
      </c>
      <c r="EB58" s="22" t="s">
        <v>1</v>
      </c>
      <c r="EC58" s="25">
        <v>51.34733154974905</v>
      </c>
      <c r="ED58" s="25">
        <v>48.125942232597815</v>
      </c>
      <c r="EE58" s="25">
        <v>0.526726217653131</v>
      </c>
      <c r="EF58" s="16">
        <f t="shared" si="12"/>
        <v>50.82060533209592</v>
      </c>
      <c r="EG58" s="12">
        <v>0</v>
      </c>
      <c r="EH58" s="8">
        <v>32.00027811792955</v>
      </c>
      <c r="EI58" s="8">
        <v>64.68527481600877</v>
      </c>
      <c r="EJ58" s="8">
        <v>1.9904783239443617</v>
      </c>
      <c r="EK58" s="16">
        <f t="shared" si="15"/>
        <v>30.009799793985184</v>
      </c>
      <c r="EL58" s="23">
        <v>1.323968742117322</v>
      </c>
      <c r="EM58" s="25">
        <v>20.539326012029587</v>
      </c>
      <c r="EN58" s="25">
        <v>74.49481601115566</v>
      </c>
      <c r="EO58" s="25">
        <v>2.8575867363046137</v>
      </c>
      <c r="EP58" s="24">
        <f t="shared" si="23"/>
        <v>17.681739275724972</v>
      </c>
      <c r="EQ58" s="27">
        <v>2.108271240510133</v>
      </c>
    </row>
    <row r="59" spans="1:147" ht="12">
      <c r="A59" s="1" t="s">
        <v>33</v>
      </c>
      <c r="B59" s="24">
        <f>33-34</f>
        <v>-1</v>
      </c>
      <c r="C59" s="8">
        <v>34.0254002314978</v>
      </c>
      <c r="D59" s="23">
        <f>14-39</f>
        <v>-25</v>
      </c>
      <c r="E59" s="8">
        <v>47.34359396508312</v>
      </c>
      <c r="F59" s="23">
        <f>21-32</f>
        <v>-11</v>
      </c>
      <c r="G59" s="8">
        <v>47.45856339317688</v>
      </c>
      <c r="H59" s="23">
        <f>52-31</f>
        <v>21</v>
      </c>
      <c r="I59" s="8">
        <v>17.016495084162266</v>
      </c>
      <c r="J59" s="23">
        <f>26-39</f>
        <v>-13</v>
      </c>
      <c r="K59" s="8">
        <v>34.516500258955936</v>
      </c>
      <c r="L59" s="20">
        <v>-1.478</v>
      </c>
      <c r="M59" s="23">
        <f>7-41</f>
        <v>-34</v>
      </c>
      <c r="N59" s="8">
        <v>51</v>
      </c>
      <c r="O59" s="20">
        <v>-3.306</v>
      </c>
      <c r="P59" s="23">
        <f>17-37</f>
        <v>-20</v>
      </c>
      <c r="Q59" s="8">
        <v>45.79952648106907</v>
      </c>
      <c r="R59" s="20">
        <v>-2.198</v>
      </c>
      <c r="S59" s="23">
        <f>45-38</f>
        <v>7</v>
      </c>
      <c r="T59" s="8">
        <v>16.910163771716046</v>
      </c>
      <c r="U59" s="20">
        <v>0.284</v>
      </c>
      <c r="V59" s="23">
        <f>8-12</f>
        <v>-4</v>
      </c>
      <c r="W59" s="10">
        <v>80.83813732890597</v>
      </c>
      <c r="X59" s="23">
        <f>12-3</f>
        <v>9</v>
      </c>
      <c r="Y59" s="10">
        <v>84.9581653743816</v>
      </c>
      <c r="Z59" s="23">
        <f>13-5</f>
        <v>8</v>
      </c>
      <c r="AA59" s="10">
        <v>82.09726032091521</v>
      </c>
      <c r="AB59" s="23">
        <f>2-21</f>
        <v>-19</v>
      </c>
      <c r="AC59" s="10">
        <v>76.98352006160792</v>
      </c>
      <c r="AD59" s="23">
        <f>13-36</f>
        <v>-23</v>
      </c>
      <c r="AE59" s="10">
        <v>51.34586589396057</v>
      </c>
      <c r="AF59" s="23">
        <f>14-27</f>
        <v>-13</v>
      </c>
      <c r="AG59" s="10">
        <v>59.75327824990946</v>
      </c>
      <c r="AH59" s="23">
        <f>4-27</f>
        <v>-23</v>
      </c>
      <c r="AI59" s="10">
        <v>68.72896624450483</v>
      </c>
      <c r="AJ59" s="23">
        <f>15-46</f>
        <v>-31</v>
      </c>
      <c r="AK59" s="10">
        <v>38.673960327423664</v>
      </c>
      <c r="AL59" s="23">
        <f>8-33</f>
        <v>-25</v>
      </c>
      <c r="AM59" s="10">
        <v>58.5037217026121</v>
      </c>
      <c r="AN59" s="23">
        <f>10-31</f>
        <v>-21</v>
      </c>
      <c r="AO59" s="10">
        <v>59.244893069543906</v>
      </c>
      <c r="AP59" s="23">
        <f>5-31</f>
        <v>-26</v>
      </c>
      <c r="AQ59" s="10">
        <v>64.36134178080654</v>
      </c>
      <c r="AR59" s="23">
        <f>8-36</f>
        <v>-28</v>
      </c>
      <c r="AS59" s="10">
        <v>55.98336311040679</v>
      </c>
      <c r="AT59" s="25">
        <v>7.290288920982451</v>
      </c>
      <c r="AU59" s="25">
        <v>87.55887544889288</v>
      </c>
      <c r="AV59" s="25">
        <v>1.999119019093777</v>
      </c>
      <c r="AW59" s="24">
        <f t="shared" si="33"/>
        <v>5.291169901888674</v>
      </c>
      <c r="AX59" s="25">
        <v>3.1517166110308885</v>
      </c>
      <c r="AY59" s="25">
        <v>13.617506477319674</v>
      </c>
      <c r="AZ59" s="25">
        <v>82.69132413872275</v>
      </c>
      <c r="BA59" s="25">
        <v>3.6911693839575723</v>
      </c>
      <c r="BB59" s="24">
        <f t="shared" si="30"/>
        <v>9.926337093362102</v>
      </c>
      <c r="BC59" s="25">
        <v>0</v>
      </c>
      <c r="BD59" s="25">
        <v>35.39757124975505</v>
      </c>
      <c r="BE59" s="25">
        <v>63.88040862452088</v>
      </c>
      <c r="BF59" s="25">
        <v>0.7220201257240708</v>
      </c>
      <c r="BG59" s="24">
        <f t="shared" si="31"/>
        <v>34.67555112403098</v>
      </c>
      <c r="BH59" s="12">
        <v>0</v>
      </c>
      <c r="BI59" s="8">
        <v>21.247688124139504</v>
      </c>
      <c r="BJ59" s="8">
        <v>75.8701894652144</v>
      </c>
      <c r="BK59" s="8">
        <v>1.6621533546984486</v>
      </c>
      <c r="BL59" s="24">
        <f t="shared" si="32"/>
        <v>19.585534769441054</v>
      </c>
      <c r="BM59" s="8">
        <v>1.219969055947659</v>
      </c>
      <c r="BN59" s="8"/>
      <c r="BO59" s="8"/>
      <c r="BP59" s="24">
        <f>27-28</f>
        <v>-1</v>
      </c>
      <c r="BQ59" s="8">
        <v>44.78269670438983</v>
      </c>
      <c r="BR59" s="22" t="s">
        <v>1</v>
      </c>
      <c r="BS59" s="22" t="s">
        <v>1</v>
      </c>
      <c r="BT59" s="22" t="s">
        <v>1</v>
      </c>
      <c r="BU59" s="22" t="s">
        <v>1</v>
      </c>
      <c r="BV59" s="24">
        <f>46-17</f>
        <v>29</v>
      </c>
      <c r="BW59" s="8">
        <v>36.504398654821436</v>
      </c>
      <c r="BX59" s="24">
        <f>16-35</f>
        <v>-19</v>
      </c>
      <c r="BY59" s="8">
        <v>49.68665677246029</v>
      </c>
      <c r="BZ59" s="24">
        <f>22-36</f>
        <v>-14</v>
      </c>
      <c r="CA59" s="8">
        <v>42.08028105210941</v>
      </c>
      <c r="CB59" s="20">
        <v>-1.488</v>
      </c>
      <c r="CC59" s="22" t="s">
        <v>1</v>
      </c>
      <c r="CD59" s="22" t="s">
        <v>1</v>
      </c>
      <c r="CE59" s="22" t="s">
        <v>1</v>
      </c>
      <c r="CF59" s="22" t="s">
        <v>1</v>
      </c>
      <c r="CG59" s="22" t="s">
        <v>1</v>
      </c>
      <c r="CH59" s="22" t="s">
        <v>1</v>
      </c>
      <c r="CI59" s="24">
        <f>44-22</f>
        <v>22</v>
      </c>
      <c r="CJ59" s="8">
        <v>33.952335952608124</v>
      </c>
      <c r="CK59" s="21">
        <v>1.475</v>
      </c>
      <c r="CL59" s="24">
        <f>9-44</f>
        <v>-35</v>
      </c>
      <c r="CM59" s="8">
        <v>46.89517391592717</v>
      </c>
      <c r="CN59" s="21">
        <v>-3.244</v>
      </c>
      <c r="CO59" s="24">
        <f>8-5</f>
        <v>3</v>
      </c>
      <c r="CP59" s="10">
        <v>87.055026864492</v>
      </c>
      <c r="CQ59" s="22" t="s">
        <v>1</v>
      </c>
      <c r="CR59" s="22" t="s">
        <v>1</v>
      </c>
      <c r="CS59" s="22" t="s">
        <v>1</v>
      </c>
      <c r="CT59" s="22" t="s">
        <v>1</v>
      </c>
      <c r="CU59" s="24">
        <f>10-9</f>
        <v>1</v>
      </c>
      <c r="CV59" s="10">
        <v>81.49495902518743</v>
      </c>
      <c r="CW59" s="8">
        <f>7-2</f>
        <v>5</v>
      </c>
      <c r="CX59" s="8">
        <v>90.34874140538537</v>
      </c>
      <c r="CY59" s="24">
        <f>14-30</f>
        <v>-16</v>
      </c>
      <c r="CZ59" s="10">
        <v>56.553931600380125</v>
      </c>
      <c r="DA59" s="22" t="s">
        <v>1</v>
      </c>
      <c r="DB59" s="22" t="s">
        <v>1</v>
      </c>
      <c r="DC59" s="22" t="s">
        <v>1</v>
      </c>
      <c r="DD59" s="22" t="s">
        <v>1</v>
      </c>
      <c r="DE59" s="24">
        <f>16-38</f>
        <v>-22</v>
      </c>
      <c r="DF59" s="25">
        <v>46.52585856221429</v>
      </c>
      <c r="DG59" s="24">
        <f>13-25</f>
        <v>-12</v>
      </c>
      <c r="DH59" s="8">
        <v>62.494436453478905</v>
      </c>
      <c r="DI59" s="24">
        <f>7-22</f>
        <v>-15</v>
      </c>
      <c r="DJ59" s="25">
        <v>71.07707608693734</v>
      </c>
      <c r="DK59" s="22" t="s">
        <v>1</v>
      </c>
      <c r="DL59" s="22" t="s">
        <v>1</v>
      </c>
      <c r="DM59" s="22" t="s">
        <v>1</v>
      </c>
      <c r="DN59" s="22" t="s">
        <v>1</v>
      </c>
      <c r="DO59" s="24">
        <f>9-24</f>
        <v>-15</v>
      </c>
      <c r="DP59" s="25">
        <v>66.24647499031731</v>
      </c>
      <c r="DQ59" s="24">
        <f>5-21</f>
        <v>-16</v>
      </c>
      <c r="DR59" s="8">
        <v>73.93866366698794</v>
      </c>
      <c r="DS59" s="22" t="s">
        <v>1</v>
      </c>
      <c r="DT59" s="22" t="s">
        <v>1</v>
      </c>
      <c r="DU59" s="22" t="s">
        <v>1</v>
      </c>
      <c r="DV59" s="22" t="s">
        <v>1</v>
      </c>
      <c r="DW59" s="22" t="s">
        <v>1</v>
      </c>
      <c r="DX59" s="22" t="s">
        <v>1</v>
      </c>
      <c r="DY59" s="22" t="s">
        <v>1</v>
      </c>
      <c r="DZ59" s="22" t="s">
        <v>1</v>
      </c>
      <c r="EA59" s="22" t="s">
        <v>1</v>
      </c>
      <c r="EB59" s="22" t="s">
        <v>1</v>
      </c>
      <c r="EC59" s="25">
        <v>47.91070308057725</v>
      </c>
      <c r="ED59" s="25">
        <v>50.48904048856239</v>
      </c>
      <c r="EE59" s="25">
        <v>1.6002564308603628</v>
      </c>
      <c r="EF59" s="16">
        <f t="shared" si="12"/>
        <v>46.31044664971689</v>
      </c>
      <c r="EG59" s="12">
        <v>0</v>
      </c>
      <c r="EH59" s="8">
        <v>22.40046592856717</v>
      </c>
      <c r="EI59" s="8">
        <v>75.3961432631789</v>
      </c>
      <c r="EJ59" s="8">
        <v>1.9501454236781834</v>
      </c>
      <c r="EK59" s="16">
        <f t="shared" si="15"/>
        <v>20.450320504888985</v>
      </c>
      <c r="EL59" s="23">
        <v>0.2532453845757573</v>
      </c>
      <c r="EM59" s="25">
        <v>7.288520988751024</v>
      </c>
      <c r="EN59" s="25">
        <v>90.1507989528728</v>
      </c>
      <c r="EO59" s="25">
        <v>2.157415280206899</v>
      </c>
      <c r="EP59" s="24">
        <f t="shared" si="23"/>
        <v>5.131105708544125</v>
      </c>
      <c r="EQ59" s="27">
        <v>0.40326477816927614</v>
      </c>
    </row>
    <row r="60" spans="1:147" ht="12">
      <c r="A60" s="1" t="s">
        <v>54</v>
      </c>
      <c r="B60" s="24">
        <f aca="true" t="shared" si="34" ref="B60:AV60">AVERAGE(B56:B59)</f>
        <v>-14</v>
      </c>
      <c r="C60" s="13">
        <f t="shared" si="34"/>
        <v>42.30560160406359</v>
      </c>
      <c r="D60" s="24">
        <f t="shared" si="34"/>
        <v>-27.25</v>
      </c>
      <c r="E60" s="13">
        <f t="shared" si="34"/>
        <v>48.536365164698104</v>
      </c>
      <c r="F60" s="24">
        <f t="shared" si="34"/>
        <v>-20.5</v>
      </c>
      <c r="G60" s="13">
        <f t="shared" si="34"/>
        <v>48.10164205587613</v>
      </c>
      <c r="H60" s="24">
        <f t="shared" si="34"/>
        <v>-1</v>
      </c>
      <c r="I60" s="13">
        <f t="shared" si="34"/>
        <v>34.83582051941485</v>
      </c>
      <c r="J60" s="24">
        <f t="shared" si="34"/>
        <v>-3</v>
      </c>
      <c r="K60" s="13">
        <f t="shared" si="34"/>
        <v>38.928602940172794</v>
      </c>
      <c r="L60" s="21">
        <f t="shared" si="34"/>
        <v>-0.73</v>
      </c>
      <c r="M60" s="24">
        <f t="shared" si="34"/>
        <v>-26.25</v>
      </c>
      <c r="N60" s="13">
        <f t="shared" si="34"/>
        <v>49.59352144090151</v>
      </c>
      <c r="O60" s="21">
        <f t="shared" si="34"/>
        <v>-2.6027500000000003</v>
      </c>
      <c r="P60" s="24">
        <f t="shared" si="34"/>
        <v>-21.75</v>
      </c>
      <c r="Q60" s="13">
        <f t="shared" si="34"/>
        <v>46.34094629768702</v>
      </c>
      <c r="R60" s="21">
        <f t="shared" si="34"/>
        <v>-2.1507500000000004</v>
      </c>
      <c r="S60" s="24">
        <f t="shared" si="34"/>
        <v>21.75</v>
      </c>
      <c r="T60" s="13">
        <f t="shared" si="34"/>
        <v>27.563713357886066</v>
      </c>
      <c r="U60" s="21">
        <f t="shared" si="34"/>
        <v>1.2965</v>
      </c>
      <c r="V60" s="24">
        <f t="shared" si="34"/>
        <v>7.75</v>
      </c>
      <c r="W60" s="13">
        <f t="shared" si="34"/>
        <v>83.08184209098408</v>
      </c>
      <c r="X60" s="24">
        <f t="shared" si="34"/>
        <v>8</v>
      </c>
      <c r="Y60" s="13">
        <f t="shared" si="34"/>
        <v>83.38807805258767</v>
      </c>
      <c r="Z60" s="24">
        <f t="shared" si="34"/>
        <v>9</v>
      </c>
      <c r="AA60" s="13">
        <f t="shared" si="34"/>
        <v>84.53606876285329</v>
      </c>
      <c r="AB60" s="24">
        <f t="shared" si="34"/>
        <v>6.75</v>
      </c>
      <c r="AC60" s="13">
        <f t="shared" si="34"/>
        <v>82.3538942739421</v>
      </c>
      <c r="AD60" s="24">
        <f t="shared" si="34"/>
        <v>3.75</v>
      </c>
      <c r="AE60" s="13">
        <f t="shared" si="34"/>
        <v>52.41145506783845</v>
      </c>
      <c r="AF60" s="24">
        <f t="shared" si="34"/>
        <v>-4</v>
      </c>
      <c r="AG60" s="13">
        <f t="shared" si="34"/>
        <v>55.43000272031547</v>
      </c>
      <c r="AH60" s="24">
        <f t="shared" si="34"/>
        <v>-3</v>
      </c>
      <c r="AI60" s="13">
        <f t="shared" si="34"/>
        <v>61.650627016500565</v>
      </c>
      <c r="AJ60" s="24">
        <f t="shared" si="34"/>
        <v>12.5</v>
      </c>
      <c r="AK60" s="13">
        <f t="shared" si="34"/>
        <v>46.88913573902218</v>
      </c>
      <c r="AL60" s="24">
        <f t="shared" si="34"/>
        <v>-2.5</v>
      </c>
      <c r="AM60" s="13">
        <f t="shared" si="34"/>
        <v>58.1594524873253</v>
      </c>
      <c r="AN60" s="24">
        <f t="shared" si="34"/>
        <v>-10.25</v>
      </c>
      <c r="AO60" s="13">
        <f t="shared" si="34"/>
        <v>57.79898954398416</v>
      </c>
      <c r="AP60" s="24">
        <f t="shared" si="34"/>
        <v>-10.25</v>
      </c>
      <c r="AQ60" s="13">
        <f t="shared" si="34"/>
        <v>61.40268021722453</v>
      </c>
      <c r="AR60" s="24">
        <f t="shared" si="34"/>
        <v>6.25</v>
      </c>
      <c r="AS60" s="13">
        <f t="shared" si="34"/>
        <v>57.40873547703991</v>
      </c>
      <c r="AT60" s="13">
        <f t="shared" si="34"/>
        <v>18.33637965524692</v>
      </c>
      <c r="AU60" s="13">
        <f t="shared" si="34"/>
        <v>76.75044259687758</v>
      </c>
      <c r="AV60" s="13">
        <f t="shared" si="34"/>
        <v>3.7513962828531535</v>
      </c>
      <c r="AW60" s="24">
        <f t="shared" si="33"/>
        <v>14.584983372393765</v>
      </c>
      <c r="AX60" s="13">
        <f>AVERAGE(AX56:AX59)</f>
        <v>1.1617814650223393</v>
      </c>
      <c r="AY60" s="13">
        <f>AVERAGE(AY56:AY59)</f>
        <v>25.19607886985729</v>
      </c>
      <c r="AZ60" s="13">
        <f>AVERAGE(AZ56:AZ59)</f>
        <v>72.0708298818186</v>
      </c>
      <c r="BA60" s="13">
        <f>AVERAGE(BA56:BA59)</f>
        <v>2.505661033866827</v>
      </c>
      <c r="BB60" s="24">
        <f t="shared" si="30"/>
        <v>22.690417835990463</v>
      </c>
      <c r="BC60" s="13">
        <f>AVERAGE(BC56:BC59)</f>
        <v>0.22743021445728448</v>
      </c>
      <c r="BD60" s="13">
        <f>AVERAGE(BD56:BD59)</f>
        <v>57.92979518325552</v>
      </c>
      <c r="BE60" s="13">
        <f>AVERAGE(BE56:BE59)</f>
        <v>41.40060807633807</v>
      </c>
      <c r="BF60" s="13">
        <f>AVERAGE(BF56:BF59)</f>
        <v>0.6555182753569376</v>
      </c>
      <c r="BG60" s="24">
        <f t="shared" si="31"/>
        <v>57.27427690789858</v>
      </c>
      <c r="BH60" s="13">
        <f>AVERAGE(BH56:BH59)</f>
        <v>0.01407846504948207</v>
      </c>
      <c r="BI60" s="13">
        <f>AVERAGE(BI56:BI59)</f>
        <v>37.689251708057455</v>
      </c>
      <c r="BJ60" s="13">
        <f>AVERAGE(BJ56:BJ59)</f>
        <v>59.68872641662524</v>
      </c>
      <c r="BK60" s="13">
        <f>AVERAGE(BK56:BK59)</f>
        <v>2.131656622595593</v>
      </c>
      <c r="BL60" s="24">
        <f t="shared" si="32"/>
        <v>35.55759508546186</v>
      </c>
      <c r="BM60" s="13">
        <f>AVERAGE(BM56:BM59)</f>
        <v>0.49036525272171944</v>
      </c>
      <c r="BN60" s="13"/>
      <c r="BO60" s="13"/>
      <c r="BP60" s="24">
        <f>AVERAGE(BP56:BP59)</f>
        <v>-14.75</v>
      </c>
      <c r="BQ60" s="13">
        <f>AVERAGE(BQ56:BQ59)</f>
        <v>46.54288423969011</v>
      </c>
      <c r="BR60" s="22" t="s">
        <v>1</v>
      </c>
      <c r="BS60" s="22" t="s">
        <v>1</v>
      </c>
      <c r="BT60" s="22" t="s">
        <v>1</v>
      </c>
      <c r="BU60" s="22" t="s">
        <v>1</v>
      </c>
      <c r="BV60" s="24">
        <f aca="true" t="shared" si="35" ref="BV60:CB60">AVERAGE(BV56:BV59)</f>
        <v>11.25</v>
      </c>
      <c r="BW60" s="13">
        <f t="shared" si="35"/>
        <v>45.356249089900444</v>
      </c>
      <c r="BX60" s="24">
        <f t="shared" si="35"/>
        <v>-30</v>
      </c>
      <c r="BY60" s="13">
        <f t="shared" si="35"/>
        <v>47.24583203827062</v>
      </c>
      <c r="BZ60" s="24">
        <f t="shared" si="35"/>
        <v>-17.75</v>
      </c>
      <c r="CA60" s="13">
        <f t="shared" si="35"/>
        <v>41.779107820196266</v>
      </c>
      <c r="CB60" s="21">
        <f t="shared" si="35"/>
        <v>-2.5117499999999997</v>
      </c>
      <c r="CC60" s="22" t="s">
        <v>1</v>
      </c>
      <c r="CD60" s="22" t="s">
        <v>1</v>
      </c>
      <c r="CE60" s="22" t="s">
        <v>1</v>
      </c>
      <c r="CF60" s="22" t="s">
        <v>1</v>
      </c>
      <c r="CG60" s="22" t="s">
        <v>1</v>
      </c>
      <c r="CH60" s="22" t="s">
        <v>1</v>
      </c>
      <c r="CI60" s="24">
        <f aca="true" t="shared" si="36" ref="CI60:CP60">AVERAGE(CI56:CI59)</f>
        <v>14.75</v>
      </c>
      <c r="CJ60" s="13">
        <f t="shared" si="36"/>
        <v>36.649545002145615</v>
      </c>
      <c r="CK60" s="21">
        <f t="shared" si="36"/>
        <v>0.93075</v>
      </c>
      <c r="CL60" s="24">
        <f t="shared" si="36"/>
        <v>-37</v>
      </c>
      <c r="CM60" s="21">
        <f t="shared" si="36"/>
        <v>44.81779657913638</v>
      </c>
      <c r="CN60" s="21">
        <f t="shared" si="36"/>
        <v>-4.5512500000000005</v>
      </c>
      <c r="CO60" s="24">
        <f t="shared" si="36"/>
        <v>12.75</v>
      </c>
      <c r="CP60" s="13">
        <f t="shared" si="36"/>
        <v>81.34977870081053</v>
      </c>
      <c r="CQ60" s="22" t="s">
        <v>1</v>
      </c>
      <c r="CR60" s="22" t="s">
        <v>1</v>
      </c>
      <c r="CS60" s="22" t="s">
        <v>1</v>
      </c>
      <c r="CT60" s="22" t="s">
        <v>1</v>
      </c>
      <c r="CU60" s="24">
        <f aca="true" t="shared" si="37" ref="CU60:CZ60">AVERAGE(CU56:CU59)</f>
        <v>6.75</v>
      </c>
      <c r="CV60" s="13">
        <f t="shared" si="37"/>
        <v>87.191439117409</v>
      </c>
      <c r="CW60" s="13">
        <f t="shared" si="37"/>
        <v>16</v>
      </c>
      <c r="CX60" s="13">
        <f t="shared" si="37"/>
        <v>77.88925224444304</v>
      </c>
      <c r="CY60" s="24">
        <f t="shared" si="37"/>
        <v>5.25</v>
      </c>
      <c r="CZ60" s="13">
        <f t="shared" si="37"/>
        <v>49.64057398500958</v>
      </c>
      <c r="DA60" s="22" t="s">
        <v>1</v>
      </c>
      <c r="DB60" s="22" t="s">
        <v>1</v>
      </c>
      <c r="DC60" s="22" t="s">
        <v>1</v>
      </c>
      <c r="DD60" s="22" t="s">
        <v>1</v>
      </c>
      <c r="DE60" s="24">
        <f aca="true" t="shared" si="38" ref="DE60:DJ60">AVERAGE(DE56:DE59)</f>
        <v>25.25</v>
      </c>
      <c r="DF60" s="13">
        <f t="shared" si="38"/>
        <v>43.34008863166804</v>
      </c>
      <c r="DG60" s="24">
        <f t="shared" si="38"/>
        <v>-6.75</v>
      </c>
      <c r="DH60" s="13">
        <f t="shared" si="38"/>
        <v>53.33120038844193</v>
      </c>
      <c r="DI60" s="24">
        <f t="shared" si="38"/>
        <v>0.5</v>
      </c>
      <c r="DJ60" s="13">
        <f t="shared" si="38"/>
        <v>57.922401566616315</v>
      </c>
      <c r="DK60" s="22" t="s">
        <v>1</v>
      </c>
      <c r="DL60" s="22" t="s">
        <v>1</v>
      </c>
      <c r="DM60" s="22" t="s">
        <v>1</v>
      </c>
      <c r="DN60" s="22" t="s">
        <v>1</v>
      </c>
      <c r="DO60" s="24">
        <f>AVERAGE(DO56:DO59)</f>
        <v>17</v>
      </c>
      <c r="DP60" s="13">
        <f>AVERAGE(DP56:DP59)</f>
        <v>56.99867159747356</v>
      </c>
      <c r="DQ60" s="13">
        <f>AVERAGE(DQ56:DQ59)</f>
        <v>-9.25</v>
      </c>
      <c r="DR60" s="13">
        <f>AVERAGE(DR56:DR59)</f>
        <v>58.61328898183092</v>
      </c>
      <c r="DS60" s="22" t="s">
        <v>1</v>
      </c>
      <c r="DT60" s="22" t="s">
        <v>1</v>
      </c>
      <c r="DU60" s="22" t="s">
        <v>1</v>
      </c>
      <c r="DV60" s="22" t="s">
        <v>1</v>
      </c>
      <c r="DW60" s="22" t="s">
        <v>1</v>
      </c>
      <c r="DX60" s="22" t="s">
        <v>1</v>
      </c>
      <c r="DY60" s="22" t="s">
        <v>1</v>
      </c>
      <c r="DZ60" s="22" t="s">
        <v>1</v>
      </c>
      <c r="EA60" s="22" t="s">
        <v>1</v>
      </c>
      <c r="EB60" s="22" t="s">
        <v>1</v>
      </c>
      <c r="EC60" s="13">
        <f aca="true" t="shared" si="39" ref="EC60:EO60">AVERAGE(EC56:EC59)</f>
        <v>55.797129439947</v>
      </c>
      <c r="ED60" s="13">
        <f t="shared" si="39"/>
        <v>42.048912447777056</v>
      </c>
      <c r="EE60" s="13">
        <f t="shared" si="39"/>
        <v>2.1153331982066628</v>
      </c>
      <c r="EF60" s="13">
        <f t="shared" si="39"/>
        <v>53.681796241740344</v>
      </c>
      <c r="EG60" s="13">
        <f t="shared" si="39"/>
        <v>0.03862491406927145</v>
      </c>
      <c r="EH60" s="13">
        <f t="shared" si="39"/>
        <v>32.5934466632755</v>
      </c>
      <c r="EI60" s="13">
        <f t="shared" si="39"/>
        <v>62.73002464365119</v>
      </c>
      <c r="EJ60" s="13">
        <f t="shared" si="39"/>
        <v>3.969083795767299</v>
      </c>
      <c r="EK60" s="13">
        <f t="shared" si="39"/>
        <v>28.624362867508204</v>
      </c>
      <c r="EL60" s="13">
        <f t="shared" si="39"/>
        <v>0.7074448973060039</v>
      </c>
      <c r="EM60" s="13">
        <f t="shared" si="39"/>
        <v>18.847875642804212</v>
      </c>
      <c r="EN60" s="13">
        <f t="shared" si="39"/>
        <v>74.98125645054893</v>
      </c>
      <c r="EO60" s="13">
        <f t="shared" si="39"/>
        <v>5.067222429115137</v>
      </c>
      <c r="EP60" s="24">
        <f t="shared" si="23"/>
        <v>13.780653213689074</v>
      </c>
      <c r="EQ60" s="13">
        <f>AVERAGE(EQ56:EQ59)</f>
        <v>1.1036454775317295</v>
      </c>
    </row>
    <row r="61" spans="1:147" ht="12">
      <c r="A61" s="1" t="s">
        <v>64</v>
      </c>
      <c r="B61" s="24">
        <f>10-44</f>
        <v>-34</v>
      </c>
      <c r="C61" s="8">
        <v>45.95480768535658</v>
      </c>
      <c r="D61" s="23">
        <f>4-42</f>
        <v>-38</v>
      </c>
      <c r="E61" s="8">
        <v>53.65455494237488</v>
      </c>
      <c r="F61" s="23">
        <f>7-50</f>
        <v>-43</v>
      </c>
      <c r="G61" s="8">
        <v>42.834957561723044</v>
      </c>
      <c r="H61" s="23">
        <f>16-43</f>
        <v>-27</v>
      </c>
      <c r="I61" s="8">
        <v>41.722776441674</v>
      </c>
      <c r="J61" s="23">
        <f>24-41</f>
        <v>-17</v>
      </c>
      <c r="K61" s="8">
        <v>34.81064992592561</v>
      </c>
      <c r="L61" s="20">
        <v>-2.744</v>
      </c>
      <c r="M61" s="23">
        <f>7-39</f>
        <v>-32</v>
      </c>
      <c r="N61" s="8">
        <v>53.38816943296037</v>
      </c>
      <c r="O61" s="20">
        <v>-4.094</v>
      </c>
      <c r="P61" s="23">
        <f>10-48</f>
        <v>-38</v>
      </c>
      <c r="Q61" s="8">
        <v>41.566658136545044</v>
      </c>
      <c r="R61" s="20">
        <v>-4.148</v>
      </c>
      <c r="S61" s="23">
        <f>38-41</f>
        <v>-3</v>
      </c>
      <c r="T61" s="8">
        <v>20.953817641634302</v>
      </c>
      <c r="U61" s="20">
        <v>-1.504</v>
      </c>
      <c r="V61" s="23">
        <f>6-3</f>
        <v>3</v>
      </c>
      <c r="W61" s="10">
        <v>90.45852956821345</v>
      </c>
      <c r="X61" s="23">
        <f>8-2</f>
        <v>6</v>
      </c>
      <c r="Y61" s="10">
        <v>89.05928923486469</v>
      </c>
      <c r="Z61" s="23">
        <f>8-3</f>
        <v>5</v>
      </c>
      <c r="AA61" s="10">
        <v>89.23464205784876</v>
      </c>
      <c r="AB61" s="23">
        <f>5-3</f>
        <v>2</v>
      </c>
      <c r="AC61" s="10">
        <v>91.68473347610667</v>
      </c>
      <c r="AD61" s="23">
        <f>25-21</f>
        <v>4</v>
      </c>
      <c r="AE61" s="10">
        <v>53.75890139732199</v>
      </c>
      <c r="AF61" s="23">
        <f>17-24</f>
        <v>-7</v>
      </c>
      <c r="AG61" s="10">
        <v>59.02101084746767</v>
      </c>
      <c r="AH61" s="23">
        <f>13-23</f>
        <v>-10</v>
      </c>
      <c r="AI61" s="10">
        <v>63.955925785158115</v>
      </c>
      <c r="AJ61" s="23">
        <f>34-18</f>
        <v>16</v>
      </c>
      <c r="AK61" s="10">
        <v>47.71949518597288</v>
      </c>
      <c r="AL61" s="23">
        <f>15-21</f>
        <v>-6</v>
      </c>
      <c r="AM61" s="10">
        <v>63.624895332720975</v>
      </c>
      <c r="AN61" s="23">
        <f>9-27</f>
        <v>-18</v>
      </c>
      <c r="AO61" s="10">
        <v>63.875000718173624</v>
      </c>
      <c r="AP61" s="23">
        <f>11-24</f>
        <v>-13</v>
      </c>
      <c r="AQ61" s="10">
        <v>64.6582637156662</v>
      </c>
      <c r="AR61" s="23">
        <f>20-17</f>
        <v>3</v>
      </c>
      <c r="AS61" s="10">
        <v>63.1977803828437</v>
      </c>
      <c r="AT61" s="25">
        <v>16.80137884736273</v>
      </c>
      <c r="AU61" s="25">
        <v>79.18721890167919</v>
      </c>
      <c r="AV61" s="25">
        <v>3.457822193115214</v>
      </c>
      <c r="AW61" s="24">
        <f t="shared" si="33"/>
        <v>13.343556654247516</v>
      </c>
      <c r="AX61" s="25">
        <v>0.5535800578428699</v>
      </c>
      <c r="AY61" s="25">
        <v>21.865003760391968</v>
      </c>
      <c r="AZ61" s="25">
        <v>76.0619545809295</v>
      </c>
      <c r="BA61" s="25">
        <v>2.0376281934052667</v>
      </c>
      <c r="BB61" s="24">
        <f t="shared" si="30"/>
        <v>19.827375566986703</v>
      </c>
      <c r="BC61" s="25">
        <v>0.03541346527327037</v>
      </c>
      <c r="BD61" s="25">
        <v>47.83052882123784</v>
      </c>
      <c r="BE61" s="25">
        <v>51.48624553808825</v>
      </c>
      <c r="BF61" s="25">
        <v>0.683225640673903</v>
      </c>
      <c r="BG61" s="24">
        <f t="shared" si="31"/>
        <v>47.14730318056394</v>
      </c>
      <c r="BH61" s="12">
        <v>0</v>
      </c>
      <c r="BI61" s="8">
        <v>33.668204583755546</v>
      </c>
      <c r="BJ61" s="8">
        <v>64.3079393762285</v>
      </c>
      <c r="BK61" s="8">
        <v>1.833562727752773</v>
      </c>
      <c r="BL61" s="24">
        <f t="shared" si="32"/>
        <v>31.834641856002772</v>
      </c>
      <c r="BM61" s="8">
        <v>0.19029331226316976</v>
      </c>
      <c r="BN61" s="63">
        <v>28.156620298815042</v>
      </c>
      <c r="BO61" s="8"/>
      <c r="BP61" s="24">
        <f>9-46</f>
        <v>-37</v>
      </c>
      <c r="BQ61" s="8">
        <v>44.93298953259454</v>
      </c>
      <c r="BR61" s="22" t="s">
        <v>1</v>
      </c>
      <c r="BS61" s="22" t="s">
        <v>1</v>
      </c>
      <c r="BT61" s="22" t="s">
        <v>1</v>
      </c>
      <c r="BU61" s="22" t="s">
        <v>1</v>
      </c>
      <c r="BV61" s="24">
        <f>18-38</f>
        <v>-20</v>
      </c>
      <c r="BW61" s="8">
        <v>43.284879977255166</v>
      </c>
      <c r="BX61" s="24">
        <f>4-50</f>
        <v>-46</v>
      </c>
      <c r="BY61" s="8">
        <v>45.95476908402021</v>
      </c>
      <c r="BZ61" s="24">
        <f>16-42</f>
        <v>-26</v>
      </c>
      <c r="CA61" s="8">
        <v>42</v>
      </c>
      <c r="CB61" s="20">
        <v>-5.053</v>
      </c>
      <c r="CC61" s="22" t="s">
        <v>1</v>
      </c>
      <c r="CD61" s="22" t="s">
        <v>1</v>
      </c>
      <c r="CE61" s="22" t="s">
        <v>1</v>
      </c>
      <c r="CF61" s="22" t="s">
        <v>1</v>
      </c>
      <c r="CG61" s="22" t="s">
        <v>1</v>
      </c>
      <c r="CH61" s="22" t="s">
        <v>1</v>
      </c>
      <c r="CI61" s="24">
        <f>34-35</f>
        <v>-1</v>
      </c>
      <c r="CJ61" s="8">
        <v>31</v>
      </c>
      <c r="CK61" s="21">
        <v>-2.3</v>
      </c>
      <c r="CL61" s="24">
        <f>5-46</f>
        <v>-41</v>
      </c>
      <c r="CM61" s="8">
        <v>49</v>
      </c>
      <c r="CN61" s="21">
        <v>-6.7</v>
      </c>
      <c r="CO61" s="24">
        <f>11-3</f>
        <v>8</v>
      </c>
      <c r="CP61" s="10">
        <v>86.52376861186522</v>
      </c>
      <c r="CQ61" s="22" t="s">
        <v>1</v>
      </c>
      <c r="CR61" s="22" t="s">
        <v>1</v>
      </c>
      <c r="CS61" s="22" t="s">
        <v>1</v>
      </c>
      <c r="CT61" s="22" t="s">
        <v>1</v>
      </c>
      <c r="CU61" s="24">
        <f>7-5</f>
        <v>2</v>
      </c>
      <c r="CV61" s="10">
        <v>88.19293660133998</v>
      </c>
      <c r="CW61" s="8">
        <f>13-1</f>
        <v>12</v>
      </c>
      <c r="CX61" s="8">
        <v>85.48893344935176</v>
      </c>
      <c r="CY61" s="24">
        <f>22-20</f>
        <v>2</v>
      </c>
      <c r="CZ61" s="10">
        <v>57.50577747653297</v>
      </c>
      <c r="DA61" s="22" t="s">
        <v>1</v>
      </c>
      <c r="DB61" s="22" t="s">
        <v>1</v>
      </c>
      <c r="DC61" s="22" t="s">
        <v>1</v>
      </c>
      <c r="DD61" s="22" t="s">
        <v>1</v>
      </c>
      <c r="DE61" s="24">
        <f>33-19</f>
        <v>14</v>
      </c>
      <c r="DF61" s="25">
        <v>48.3829079318614</v>
      </c>
      <c r="DG61" s="24">
        <f>16-21</f>
        <v>-5</v>
      </c>
      <c r="DH61" s="8">
        <v>63.161688833196315</v>
      </c>
      <c r="DI61" s="24">
        <f>19-23</f>
        <v>-4</v>
      </c>
      <c r="DJ61" s="25">
        <v>58.220626851079075</v>
      </c>
      <c r="DK61" s="22" t="s">
        <v>1</v>
      </c>
      <c r="DL61" s="22" t="s">
        <v>1</v>
      </c>
      <c r="DM61" s="22" t="s">
        <v>1</v>
      </c>
      <c r="DN61" s="22" t="s">
        <v>1</v>
      </c>
      <c r="DO61" s="24">
        <f>29-20</f>
        <v>9</v>
      </c>
      <c r="DP61" s="25">
        <v>51.42946710896253</v>
      </c>
      <c r="DQ61" s="24">
        <f>12-25</f>
        <v>-13</v>
      </c>
      <c r="DR61" s="8">
        <v>62.430946567070876</v>
      </c>
      <c r="DS61" s="22" t="s">
        <v>1</v>
      </c>
      <c r="DT61" s="22" t="s">
        <v>1</v>
      </c>
      <c r="DU61" s="22" t="s">
        <v>1</v>
      </c>
      <c r="DV61" s="22" t="s">
        <v>1</v>
      </c>
      <c r="DW61" s="22" t="s">
        <v>1</v>
      </c>
      <c r="DX61" s="22" t="s">
        <v>1</v>
      </c>
      <c r="DY61" s="22" t="s">
        <v>1</v>
      </c>
      <c r="DZ61" s="22" t="s">
        <v>1</v>
      </c>
      <c r="EA61" s="22" t="s">
        <v>1</v>
      </c>
      <c r="EB61" s="22" t="s">
        <v>1</v>
      </c>
      <c r="EC61" s="25">
        <v>55.8758890995847</v>
      </c>
      <c r="ED61" s="25">
        <v>43.935500006165874</v>
      </c>
      <c r="EE61" s="25">
        <v>0.18861089424942426</v>
      </c>
      <c r="EF61" s="16">
        <f>EC61-EE61</f>
        <v>55.687278205335275</v>
      </c>
      <c r="EG61" s="25">
        <v>0</v>
      </c>
      <c r="EH61" s="8">
        <v>30.10669959486268</v>
      </c>
      <c r="EI61" s="8">
        <v>66.80142938743458</v>
      </c>
      <c r="EJ61" s="8">
        <v>2.2904264034844064</v>
      </c>
      <c r="EK61" s="16">
        <f>EH61-EJ61</f>
        <v>27.816273191378272</v>
      </c>
      <c r="EL61" s="23">
        <v>0.8014446142183433</v>
      </c>
      <c r="EM61" s="25">
        <v>14.13055844123903</v>
      </c>
      <c r="EN61" s="25">
        <v>80.97763447673312</v>
      </c>
      <c r="EO61" s="25">
        <v>3.59349032981629</v>
      </c>
      <c r="EP61" s="24">
        <f aca="true" t="shared" si="40" ref="EP61:EP70">EM61-EO61</f>
        <v>10.537068111422741</v>
      </c>
      <c r="EQ61" s="13">
        <v>1.2983167522115642</v>
      </c>
    </row>
    <row r="62" spans="1:147" ht="12">
      <c r="A62" s="1" t="s">
        <v>36</v>
      </c>
      <c r="B62" s="24">
        <f>31-29</f>
        <v>2</v>
      </c>
      <c r="C62" s="8">
        <v>40.27655004986542</v>
      </c>
      <c r="D62" s="23">
        <f>13-47</f>
        <v>-34</v>
      </c>
      <c r="E62" s="8">
        <v>40.33196336270444</v>
      </c>
      <c r="F62" s="23">
        <f>16-39</f>
        <v>-23</v>
      </c>
      <c r="G62" s="8">
        <v>44.3007172573181</v>
      </c>
      <c r="H62" s="23">
        <f>47-14</f>
        <v>33</v>
      </c>
      <c r="I62" s="8">
        <v>39.215026353036755</v>
      </c>
      <c r="J62" s="23">
        <f>33-34</f>
        <v>-1</v>
      </c>
      <c r="K62" s="8">
        <v>32.450712143203994</v>
      </c>
      <c r="L62" s="20">
        <v>-2.946</v>
      </c>
      <c r="M62" s="23">
        <f>13-52</f>
        <v>-39</v>
      </c>
      <c r="N62" s="8">
        <v>34.529369009029494</v>
      </c>
      <c r="O62" s="20">
        <v>-6.628</v>
      </c>
      <c r="P62" s="23">
        <f>17-52</f>
        <v>-35</v>
      </c>
      <c r="Q62" s="8">
        <v>30.897462998239767</v>
      </c>
      <c r="R62" s="20">
        <v>-5.246</v>
      </c>
      <c r="S62" s="23">
        <f>50-18</f>
        <v>32</v>
      </c>
      <c r="T62" s="8">
        <v>31.494999898568203</v>
      </c>
      <c r="U62" s="20">
        <v>0.033</v>
      </c>
      <c r="V62" s="23">
        <f>16-4</f>
        <v>12</v>
      </c>
      <c r="W62" s="10">
        <v>80.13675796466609</v>
      </c>
      <c r="X62" s="23">
        <f>18-5</f>
        <v>13</v>
      </c>
      <c r="Y62" s="10">
        <v>77.23360962386295</v>
      </c>
      <c r="Z62" s="23">
        <f>20-4</f>
        <v>16</v>
      </c>
      <c r="AA62" s="10">
        <v>75.95239342660956</v>
      </c>
      <c r="AB62" s="23">
        <f>14-3</f>
        <v>11</v>
      </c>
      <c r="AC62" s="10">
        <v>83.09068910830484</v>
      </c>
      <c r="AD62" s="23">
        <f>17-23</f>
        <v>-6</v>
      </c>
      <c r="AE62" s="10">
        <v>60.105846397469264</v>
      </c>
      <c r="AF62" s="23">
        <f>14-34</f>
        <v>-20</v>
      </c>
      <c r="AG62" s="10">
        <v>52.049367447252514</v>
      </c>
      <c r="AH62" s="23">
        <f>14-35</f>
        <v>-21</v>
      </c>
      <c r="AI62" s="10">
        <v>50.969390530932365</v>
      </c>
      <c r="AJ62" s="23">
        <f>20-13</f>
        <v>7</v>
      </c>
      <c r="AK62" s="10">
        <v>67.67240927856689</v>
      </c>
      <c r="AL62" s="23">
        <f>15-23</f>
        <v>-8</v>
      </c>
      <c r="AM62" s="10">
        <v>61.77922453197267</v>
      </c>
      <c r="AN62" s="23">
        <f>10-37</f>
        <v>-27</v>
      </c>
      <c r="AO62" s="10">
        <v>52.77498723134448</v>
      </c>
      <c r="AP62" s="23">
        <f>12-38</f>
        <v>-26</v>
      </c>
      <c r="AQ62" s="10">
        <v>49.943282481641965</v>
      </c>
      <c r="AR62" s="23">
        <f>19-11</f>
        <v>8</v>
      </c>
      <c r="AS62" s="10">
        <v>70.64993596637886</v>
      </c>
      <c r="AT62" s="25">
        <v>22.641857740704445</v>
      </c>
      <c r="AU62" s="25">
        <v>70.66466994878041</v>
      </c>
      <c r="AV62" s="25">
        <v>3.147716906370055</v>
      </c>
      <c r="AW62" s="24">
        <f t="shared" si="33"/>
        <v>19.49414083433439</v>
      </c>
      <c r="AX62" s="25">
        <v>3.5457554041450843</v>
      </c>
      <c r="AY62" s="25">
        <v>30.732339431337202</v>
      </c>
      <c r="AZ62" s="25">
        <v>63.927259943815564</v>
      </c>
      <c r="BA62" s="25">
        <v>4.857156272163318</v>
      </c>
      <c r="BB62" s="24">
        <f t="shared" si="30"/>
        <v>25.875183159173883</v>
      </c>
      <c r="BC62" s="25">
        <v>0.4832443526839138</v>
      </c>
      <c r="BD62" s="25">
        <v>36.77246472560904</v>
      </c>
      <c r="BE62" s="25">
        <v>62.76551498750156</v>
      </c>
      <c r="BF62" s="25">
        <v>0.4358892497295635</v>
      </c>
      <c r="BG62" s="24">
        <f t="shared" si="31"/>
        <v>36.33657547587948</v>
      </c>
      <c r="BH62" s="25">
        <v>0.026131037159829576</v>
      </c>
      <c r="BI62" s="8">
        <v>33.32155658055276</v>
      </c>
      <c r="BJ62" s="8">
        <v>70.21012421154354</v>
      </c>
      <c r="BK62" s="8">
        <v>2.089578543911697</v>
      </c>
      <c r="BL62" s="24">
        <f t="shared" si="32"/>
        <v>31.231978036641063</v>
      </c>
      <c r="BM62" s="8">
        <v>1.3787406639920081</v>
      </c>
      <c r="BN62" s="63">
        <v>29.88462378616677</v>
      </c>
      <c r="BO62" s="8"/>
      <c r="BP62" s="24">
        <f>20-33</f>
        <v>-13</v>
      </c>
      <c r="BQ62" s="8">
        <v>46.71907992443855</v>
      </c>
      <c r="BR62" s="22" t="s">
        <v>1</v>
      </c>
      <c r="BS62" s="22" t="s">
        <v>1</v>
      </c>
      <c r="BT62" s="22" t="s">
        <v>1</v>
      </c>
      <c r="BU62" s="22" t="s">
        <v>1</v>
      </c>
      <c r="BV62" s="24">
        <f>32-22</f>
        <v>10</v>
      </c>
      <c r="BW62" s="8">
        <v>45.451072410775154</v>
      </c>
      <c r="BX62" s="24">
        <f>12-40</f>
        <v>-28</v>
      </c>
      <c r="BY62" s="8">
        <v>47.540084298041975</v>
      </c>
      <c r="BZ62" s="24">
        <f>17-38</f>
        <v>-21</v>
      </c>
      <c r="CA62" s="8">
        <v>44.356244180807515</v>
      </c>
      <c r="CB62" s="20">
        <v>-3.758</v>
      </c>
      <c r="CC62" s="22" t="s">
        <v>1</v>
      </c>
      <c r="CD62" s="22" t="s">
        <v>1</v>
      </c>
      <c r="CE62" s="22" t="s">
        <v>1</v>
      </c>
      <c r="CF62" s="22" t="s">
        <v>1</v>
      </c>
      <c r="CG62" s="22" t="s">
        <v>1</v>
      </c>
      <c r="CH62" s="22" t="s">
        <v>1</v>
      </c>
      <c r="CI62" s="24">
        <f>29-26</f>
        <v>3</v>
      </c>
      <c r="CJ62" s="8">
        <v>45.1806836547544</v>
      </c>
      <c r="CK62" s="21">
        <v>-0.559</v>
      </c>
      <c r="CL62" s="24">
        <f>10-46</f>
        <v>-36</v>
      </c>
      <c r="CM62" s="8">
        <v>43.8224394465389</v>
      </c>
      <c r="CN62" s="21">
        <v>-5.829</v>
      </c>
      <c r="CO62" s="24">
        <f>13-3</f>
        <v>10</v>
      </c>
      <c r="CP62" s="10">
        <v>83.67626437966746</v>
      </c>
      <c r="CQ62" s="22" t="s">
        <v>1</v>
      </c>
      <c r="CR62" s="22" t="s">
        <v>1</v>
      </c>
      <c r="CS62" s="22" t="s">
        <v>1</v>
      </c>
      <c r="CT62" s="22" t="s">
        <v>1</v>
      </c>
      <c r="CU62" s="24">
        <f>7-3</f>
        <v>4</v>
      </c>
      <c r="CV62" s="10">
        <v>89.77465512528565</v>
      </c>
      <c r="CW62" s="8">
        <f>18-3</f>
        <v>15</v>
      </c>
      <c r="CX62" s="8">
        <v>79.72770301852061</v>
      </c>
      <c r="CY62" s="24">
        <f>24-24</f>
        <v>0</v>
      </c>
      <c r="CZ62" s="10">
        <v>52.23799366901666</v>
      </c>
      <c r="DA62" s="22" t="s">
        <v>1</v>
      </c>
      <c r="DB62" s="22" t="s">
        <v>1</v>
      </c>
      <c r="DC62" s="22" t="s">
        <v>1</v>
      </c>
      <c r="DD62" s="22" t="s">
        <v>1</v>
      </c>
      <c r="DE62" s="24">
        <f>34-15</f>
        <v>19</v>
      </c>
      <c r="DF62" s="25">
        <v>51.302703976048704</v>
      </c>
      <c r="DG62" s="24">
        <f>17-30</f>
        <v>-13</v>
      </c>
      <c r="DH62" s="8">
        <v>52.843571254510955</v>
      </c>
      <c r="DI62" s="24">
        <f>18-27</f>
        <v>-9</v>
      </c>
      <c r="DJ62" s="25">
        <v>55.76673134699374</v>
      </c>
      <c r="DK62" s="22" t="s">
        <v>1</v>
      </c>
      <c r="DL62" s="22" t="s">
        <v>1</v>
      </c>
      <c r="DM62" s="22" t="s">
        <v>1</v>
      </c>
      <c r="DN62" s="22" t="s">
        <v>1</v>
      </c>
      <c r="DO62" s="24">
        <f>28-11</f>
        <v>17</v>
      </c>
      <c r="DP62" s="25">
        <v>60.93953778210085</v>
      </c>
      <c r="DQ62" s="24">
        <f>11-36</f>
        <v>-25</v>
      </c>
      <c r="DR62" s="8">
        <v>52.41746356958349</v>
      </c>
      <c r="DS62" s="22" t="s">
        <v>1</v>
      </c>
      <c r="DT62" s="22" t="s">
        <v>1</v>
      </c>
      <c r="DU62" s="22" t="s">
        <v>1</v>
      </c>
      <c r="DV62" s="22" t="s">
        <v>1</v>
      </c>
      <c r="DW62" s="22" t="s">
        <v>1</v>
      </c>
      <c r="DX62" s="22" t="s">
        <v>1</v>
      </c>
      <c r="DY62" s="22" t="s">
        <v>1</v>
      </c>
      <c r="DZ62" s="22" t="s">
        <v>1</v>
      </c>
      <c r="EA62" s="22" t="s">
        <v>1</v>
      </c>
      <c r="EB62" s="22" t="s">
        <v>1</v>
      </c>
      <c r="EC62" s="25">
        <v>61.89838252402438</v>
      </c>
      <c r="ED62" s="25">
        <v>36.963490214309545</v>
      </c>
      <c r="EE62" s="25">
        <v>0.6866508835262747</v>
      </c>
      <c r="EF62" s="16">
        <f>EC62-EE62</f>
        <v>61.2117316404981</v>
      </c>
      <c r="EG62" s="25">
        <v>0.4514763781398041</v>
      </c>
      <c r="EH62" s="8">
        <v>36.34197671357573</v>
      </c>
      <c r="EI62" s="8">
        <v>59.905229719363575</v>
      </c>
      <c r="EJ62" s="8">
        <v>2.0774438427519013</v>
      </c>
      <c r="EK62" s="16">
        <f>EH62-EJ62</f>
        <v>34.26453287082383</v>
      </c>
      <c r="EL62" s="23">
        <v>1.6753497243087945</v>
      </c>
      <c r="EM62" s="25">
        <v>19.794818500495797</v>
      </c>
      <c r="EN62" s="25">
        <v>74.75945437399747</v>
      </c>
      <c r="EO62" s="25">
        <v>2.9779488397626706</v>
      </c>
      <c r="EP62" s="24">
        <f t="shared" si="40"/>
        <v>16.816869660733126</v>
      </c>
      <c r="EQ62" s="13">
        <v>2.4677782857440658</v>
      </c>
    </row>
    <row r="63" spans="1:148" ht="12">
      <c r="A63" s="1" t="s">
        <v>32</v>
      </c>
      <c r="B63" s="24">
        <f>21-41</f>
        <v>-20</v>
      </c>
      <c r="C63" s="8">
        <v>37.75677256295983</v>
      </c>
      <c r="D63" s="23">
        <f>9-53</f>
        <v>-44</v>
      </c>
      <c r="E63" s="8">
        <v>37.30684814026122</v>
      </c>
      <c r="F63" s="23">
        <f>10-47</f>
        <v>-37</v>
      </c>
      <c r="G63" s="8">
        <v>42.61435902958587</v>
      </c>
      <c r="H63" s="23">
        <f>32-31</f>
        <v>1</v>
      </c>
      <c r="I63" s="8">
        <v>36.57331157896008</v>
      </c>
      <c r="J63" s="23">
        <f>16-52</f>
        <v>-36</v>
      </c>
      <c r="K63" s="8">
        <v>32.39574071653915</v>
      </c>
      <c r="L63" s="20">
        <v>-3.848</v>
      </c>
      <c r="M63" s="23">
        <f>6-52</f>
        <v>-46</v>
      </c>
      <c r="N63" s="8">
        <v>42.42056315706387</v>
      </c>
      <c r="O63" s="20">
        <v>-6.542</v>
      </c>
      <c r="P63" s="23">
        <f>8-56</f>
        <v>-48</v>
      </c>
      <c r="Q63" s="8">
        <v>35.82843520561061</v>
      </c>
      <c r="R63" s="20">
        <v>-5.73</v>
      </c>
      <c r="S63" s="23">
        <f>25-50</f>
        <v>-25</v>
      </c>
      <c r="T63" s="8">
        <v>24.86284283229119</v>
      </c>
      <c r="U63" s="20">
        <v>-1.532</v>
      </c>
      <c r="V63" s="23">
        <f>10-3</f>
        <v>7</v>
      </c>
      <c r="W63" s="10">
        <v>87.37836755200055</v>
      </c>
      <c r="X63" s="23">
        <f>16-6</f>
        <v>10</v>
      </c>
      <c r="Y63" s="10">
        <v>77.5003351208354</v>
      </c>
      <c r="Z63" s="23">
        <f>12-2</f>
        <v>10</v>
      </c>
      <c r="AA63" s="10">
        <v>86.08981187583761</v>
      </c>
      <c r="AB63" s="23">
        <f>5-1</f>
        <v>4</v>
      </c>
      <c r="AC63" s="10">
        <v>94.16525979650872</v>
      </c>
      <c r="AD63" s="23">
        <f>35-16</f>
        <v>19</v>
      </c>
      <c r="AE63" s="10">
        <v>49.8509747710444</v>
      </c>
      <c r="AF63" s="23">
        <f>32-18</f>
        <v>14</v>
      </c>
      <c r="AG63" s="10">
        <v>50.045233628692486</v>
      </c>
      <c r="AH63" s="23">
        <f>39-19</f>
        <v>20</v>
      </c>
      <c r="AI63" s="10">
        <v>41.526058358151055</v>
      </c>
      <c r="AJ63" s="23">
        <f>35-13</f>
        <v>22</v>
      </c>
      <c r="AK63" s="10">
        <v>52.25265762750233</v>
      </c>
      <c r="AL63" s="23">
        <f>28-16</f>
        <v>12</v>
      </c>
      <c r="AM63" s="10">
        <v>56.70407393066179</v>
      </c>
      <c r="AN63" s="23">
        <f>23-27</f>
        <v>-4</v>
      </c>
      <c r="AO63" s="10">
        <v>49.41642189329881</v>
      </c>
      <c r="AP63" s="23">
        <f>22-24</f>
        <v>-2</v>
      </c>
      <c r="AQ63" s="10">
        <v>53.783081802324986</v>
      </c>
      <c r="AR63" s="23">
        <f>32-6</f>
        <v>26</v>
      </c>
      <c r="AS63" s="10">
        <v>62.3093948869419</v>
      </c>
      <c r="AT63" s="25">
        <v>25.175934339733892</v>
      </c>
      <c r="AU63" s="25">
        <v>67.44630528977854</v>
      </c>
      <c r="AV63" s="25">
        <v>6.251020558466931</v>
      </c>
      <c r="AW63" s="24">
        <f t="shared" si="33"/>
        <v>18.924913781266962</v>
      </c>
      <c r="AX63" s="25">
        <v>1.1267398120206502</v>
      </c>
      <c r="AY63" s="25">
        <v>30.992876816438574</v>
      </c>
      <c r="AZ63" s="25">
        <v>65.14266046362019</v>
      </c>
      <c r="BA63" s="25">
        <v>1.9501053014980316</v>
      </c>
      <c r="BB63" s="24">
        <f t="shared" si="30"/>
        <v>29.042771514940544</v>
      </c>
      <c r="BC63" s="25">
        <v>1.914357418443196</v>
      </c>
      <c r="BD63" s="25">
        <v>71.8464301522728</v>
      </c>
      <c r="BE63" s="25">
        <v>28.153569847727194</v>
      </c>
      <c r="BF63" s="25">
        <v>0</v>
      </c>
      <c r="BG63" s="24">
        <f t="shared" si="31"/>
        <v>71.8464301522728</v>
      </c>
      <c r="BH63" s="25">
        <v>0</v>
      </c>
      <c r="BI63" s="8">
        <v>53.501706045889975</v>
      </c>
      <c r="BJ63" s="8">
        <v>50.23515179112408</v>
      </c>
      <c r="BK63" s="8">
        <v>2.5443159743818367</v>
      </c>
      <c r="BL63" s="24">
        <f t="shared" si="32"/>
        <v>50.95739007150814</v>
      </c>
      <c r="BM63" s="8">
        <v>0.718826188604102</v>
      </c>
      <c r="BN63" s="63">
        <v>27.837242091466923</v>
      </c>
      <c r="BO63" s="8"/>
      <c r="BP63" s="24">
        <f>21-39</f>
        <v>-18</v>
      </c>
      <c r="BQ63" s="8">
        <v>39.14010365706878</v>
      </c>
      <c r="BR63" s="22" t="s">
        <v>1</v>
      </c>
      <c r="BS63" s="22" t="s">
        <v>1</v>
      </c>
      <c r="BT63" s="22" t="s">
        <v>1</v>
      </c>
      <c r="BU63" s="22" t="s">
        <v>1</v>
      </c>
      <c r="BV63" s="24">
        <f>34-26</f>
        <v>8</v>
      </c>
      <c r="BW63" s="8">
        <v>39.97470566257309</v>
      </c>
      <c r="BX63" s="24">
        <f>13-48</f>
        <v>-35</v>
      </c>
      <c r="BY63" s="8">
        <v>38.59971892799286</v>
      </c>
      <c r="BZ63" s="24">
        <f>14-47</f>
        <v>-33</v>
      </c>
      <c r="CA63" s="8">
        <v>39.63794535840975</v>
      </c>
      <c r="CB63" s="20">
        <v>-4.752</v>
      </c>
      <c r="CC63" s="22" t="s">
        <v>1</v>
      </c>
      <c r="CD63" s="22" t="s">
        <v>1</v>
      </c>
      <c r="CE63" s="22" t="s">
        <v>1</v>
      </c>
      <c r="CF63" s="22" t="s">
        <v>1</v>
      </c>
      <c r="CG63" s="22" t="s">
        <v>1</v>
      </c>
      <c r="CH63" s="22" t="s">
        <v>1</v>
      </c>
      <c r="CI63" s="24">
        <f>27-38</f>
        <v>-11</v>
      </c>
      <c r="CJ63" s="8">
        <v>35.50130502246818</v>
      </c>
      <c r="CK63" s="21">
        <v>-2.072</v>
      </c>
      <c r="CL63" s="24">
        <f>5-52</f>
        <v>-47</v>
      </c>
      <c r="CM63" s="8">
        <v>42.316320503065185</v>
      </c>
      <c r="CN63" s="21">
        <v>-6.487</v>
      </c>
      <c r="CO63" s="24">
        <f>13-4</f>
        <v>9</v>
      </c>
      <c r="CP63" s="10">
        <v>83.30223658935503</v>
      </c>
      <c r="CQ63" s="22" t="s">
        <v>1</v>
      </c>
      <c r="CR63" s="22" t="s">
        <v>1</v>
      </c>
      <c r="CS63" s="22" t="s">
        <v>1</v>
      </c>
      <c r="CT63" s="22" t="s">
        <v>1</v>
      </c>
      <c r="CU63" s="24">
        <f>5-1</f>
        <v>4</v>
      </c>
      <c r="CV63" s="10">
        <v>93.49132035284939</v>
      </c>
      <c r="CW63" s="8">
        <f>17-6</f>
        <v>11</v>
      </c>
      <c r="CX63" s="8">
        <v>76.7050498671152</v>
      </c>
      <c r="CY63" s="24">
        <f>33-22</f>
        <v>11</v>
      </c>
      <c r="CZ63" s="10">
        <v>44.871991247592774</v>
      </c>
      <c r="DA63" s="22" t="s">
        <v>1</v>
      </c>
      <c r="DB63" s="22" t="s">
        <v>1</v>
      </c>
      <c r="DC63" s="22" t="s">
        <v>1</v>
      </c>
      <c r="DD63" s="22" t="s">
        <v>1</v>
      </c>
      <c r="DE63" s="24">
        <f>50-18</f>
        <v>32</v>
      </c>
      <c r="DF63" s="25">
        <v>31.961718162293533</v>
      </c>
      <c r="DG63" s="24">
        <f>22-25</f>
        <v>-3</v>
      </c>
      <c r="DH63" s="8">
        <v>53.231082619869106</v>
      </c>
      <c r="DI63" s="24">
        <f>31-23</f>
        <v>8</v>
      </c>
      <c r="DJ63" s="25">
        <v>45.67107953290437</v>
      </c>
      <c r="DK63" s="22" t="s">
        <v>1</v>
      </c>
      <c r="DL63" s="22" t="s">
        <v>1</v>
      </c>
      <c r="DM63" s="22" t="s">
        <v>1</v>
      </c>
      <c r="DN63" s="22" t="s">
        <v>1</v>
      </c>
      <c r="DO63" s="24">
        <f>49-12</f>
        <v>37</v>
      </c>
      <c r="DP63" s="25">
        <v>38.76807092821859</v>
      </c>
      <c r="DQ63" s="24">
        <f>20-30</f>
        <v>-10</v>
      </c>
      <c r="DR63" s="8">
        <v>50.14061160933145</v>
      </c>
      <c r="DS63" s="22" t="s">
        <v>1</v>
      </c>
      <c r="DT63" s="22" t="s">
        <v>1</v>
      </c>
      <c r="DU63" s="22" t="s">
        <v>1</v>
      </c>
      <c r="DV63" s="22" t="s">
        <v>1</v>
      </c>
      <c r="DW63" s="22" t="s">
        <v>1</v>
      </c>
      <c r="DX63" s="22" t="s">
        <v>1</v>
      </c>
      <c r="DY63" s="22" t="s">
        <v>1</v>
      </c>
      <c r="DZ63" s="22" t="s">
        <v>1</v>
      </c>
      <c r="EA63" s="22" t="s">
        <v>1</v>
      </c>
      <c r="EB63" s="22" t="s">
        <v>1</v>
      </c>
      <c r="EC63" s="25">
        <v>67.71509172504403</v>
      </c>
      <c r="ED63" s="25">
        <v>31.67058790546285</v>
      </c>
      <c r="EE63" s="25">
        <v>0.5610763095464995</v>
      </c>
      <c r="EF63" s="16">
        <f>EC63-EE63</f>
        <v>67.15401541549754</v>
      </c>
      <c r="EG63" s="25">
        <v>0.05324405994662259</v>
      </c>
      <c r="EH63" s="8">
        <v>41.3393656514542</v>
      </c>
      <c r="EI63" s="8">
        <v>53.87455593478649</v>
      </c>
      <c r="EJ63" s="8">
        <v>3.108664041506188</v>
      </c>
      <c r="EK63" s="16">
        <f>EH63-EJ63</f>
        <v>38.230701609948014</v>
      </c>
      <c r="EL63" s="23">
        <v>1.6774143722531092</v>
      </c>
      <c r="EM63" s="25">
        <v>24.26171727000183</v>
      </c>
      <c r="EN63" s="25">
        <v>68.25109129991095</v>
      </c>
      <c r="EO63" s="25">
        <v>4.758165836676595</v>
      </c>
      <c r="EP63" s="24">
        <f t="shared" si="40"/>
        <v>19.503551433325235</v>
      </c>
      <c r="EQ63" s="13">
        <v>2.7290255934106225</v>
      </c>
      <c r="ER63" s="64">
        <v>25.65983670450783</v>
      </c>
    </row>
    <row r="64" spans="1:148" ht="12">
      <c r="A64" s="1" t="s">
        <v>33</v>
      </c>
      <c r="B64" s="24">
        <f>35-23</f>
        <v>12</v>
      </c>
      <c r="C64" s="8">
        <v>42.92393177930751</v>
      </c>
      <c r="D64" s="23">
        <f>21-34</f>
        <v>-13</v>
      </c>
      <c r="E64" s="8">
        <v>45.68132826266719</v>
      </c>
      <c r="F64" s="23">
        <f>25-31</f>
        <v>-6</v>
      </c>
      <c r="G64" s="8">
        <v>44.28320473077535</v>
      </c>
      <c r="H64" s="23">
        <f>47-13</f>
        <v>34</v>
      </c>
      <c r="I64" s="8">
        <v>40.72593529370296</v>
      </c>
      <c r="J64" s="23">
        <f>31-30</f>
        <v>1</v>
      </c>
      <c r="K64" s="8">
        <v>38.73272638323575</v>
      </c>
      <c r="L64" s="20">
        <v>-2.187</v>
      </c>
      <c r="M64" s="23">
        <f>12-45</f>
        <v>-33</v>
      </c>
      <c r="N64" s="8">
        <v>42.90179233413122</v>
      </c>
      <c r="O64" s="20">
        <v>-4.668</v>
      </c>
      <c r="P64" s="23">
        <f>20-49</f>
        <v>-29</v>
      </c>
      <c r="Q64" s="8">
        <v>39.253717478038396</v>
      </c>
      <c r="R64" s="20">
        <v>-3.242</v>
      </c>
      <c r="S64" s="23">
        <f>47-17</f>
        <v>30</v>
      </c>
      <c r="T64" s="8">
        <v>35.875226507703395</v>
      </c>
      <c r="U64" s="20">
        <v>-0.261</v>
      </c>
      <c r="V64" s="23">
        <f>6-3</f>
        <v>3</v>
      </c>
      <c r="W64" s="10">
        <v>91.11396634797356</v>
      </c>
      <c r="X64" s="23">
        <f>11-5</f>
        <v>6</v>
      </c>
      <c r="Y64" s="10">
        <v>83.47939299904951</v>
      </c>
      <c r="Z64" s="23">
        <f>10-6</f>
        <v>4</v>
      </c>
      <c r="AA64" s="10">
        <v>84.26860657888916</v>
      </c>
      <c r="AB64" s="23">
        <f>1-0</f>
        <v>1</v>
      </c>
      <c r="AC64" s="10">
        <v>98.13535153795307</v>
      </c>
      <c r="AD64" s="23">
        <f>13-33</f>
        <v>-20</v>
      </c>
      <c r="AE64" s="10">
        <v>54.70414984317134</v>
      </c>
      <c r="AF64" s="23">
        <f>9-30</f>
        <v>-21</v>
      </c>
      <c r="AG64" s="10">
        <v>60.924218359962744</v>
      </c>
      <c r="AH64" s="23">
        <f>9-25</f>
        <v>-16</v>
      </c>
      <c r="AI64" s="10">
        <v>65.41410664667244</v>
      </c>
      <c r="AJ64" s="23">
        <f>16-36</f>
        <v>-20</v>
      </c>
      <c r="AK64" s="10">
        <v>47.42530941945586</v>
      </c>
      <c r="AL64" s="23">
        <f>10-20</f>
        <v>-10</v>
      </c>
      <c r="AM64" s="10">
        <v>70.56057171977379</v>
      </c>
      <c r="AN64" s="23">
        <f>4-31</f>
        <v>-27</v>
      </c>
      <c r="AO64" s="10">
        <v>64.46732769908911</v>
      </c>
      <c r="AP64" s="23">
        <f>7-28</f>
        <v>-21</v>
      </c>
      <c r="AQ64" s="10">
        <v>65.37651257315243</v>
      </c>
      <c r="AR64" s="23">
        <f>14-10</f>
        <v>4</v>
      </c>
      <c r="AS64" s="10">
        <v>76.07962575889438</v>
      </c>
      <c r="AT64" s="25">
        <v>23.96998547413189</v>
      </c>
      <c r="AU64" s="25">
        <v>70.75404431355572</v>
      </c>
      <c r="AV64" s="25">
        <v>4.4524171795083705</v>
      </c>
      <c r="AW64" s="24">
        <f t="shared" si="33"/>
        <v>19.51756829462352</v>
      </c>
      <c r="AX64" s="25">
        <v>0.823553032804022</v>
      </c>
      <c r="AY64" s="25">
        <v>26.47917291230725</v>
      </c>
      <c r="AZ64" s="25">
        <v>70.94986090505508</v>
      </c>
      <c r="BA64" s="25">
        <v>2.5709661826376795</v>
      </c>
      <c r="BB64" s="24">
        <f t="shared" si="30"/>
        <v>23.90820672966957</v>
      </c>
      <c r="BC64" s="12">
        <v>0</v>
      </c>
      <c r="BD64" s="25">
        <v>72.66042902313352</v>
      </c>
      <c r="BE64" s="25">
        <v>27.339570976866483</v>
      </c>
      <c r="BF64" s="25">
        <v>0</v>
      </c>
      <c r="BG64" s="24">
        <f t="shared" si="31"/>
        <v>72.66042902313352</v>
      </c>
      <c r="BH64" s="25">
        <v>0</v>
      </c>
      <c r="BI64" s="8">
        <v>52.768372967354026</v>
      </c>
      <c r="BJ64" s="8">
        <v>51.93015978404187</v>
      </c>
      <c r="BK64" s="8">
        <v>2.0090387303027604</v>
      </c>
      <c r="BL64" s="24">
        <f t="shared" si="32"/>
        <v>50.75933423705126</v>
      </c>
      <c r="BM64" s="8">
        <v>0.2924285183013496</v>
      </c>
      <c r="BN64" s="63">
        <v>31.133705343844948</v>
      </c>
      <c r="BO64" s="8"/>
      <c r="BP64" s="24">
        <f>24-29</f>
        <v>-5</v>
      </c>
      <c r="BQ64" s="8">
        <v>47.09798559563645</v>
      </c>
      <c r="BR64" s="22" t="s">
        <v>1</v>
      </c>
      <c r="BS64" s="22" t="s">
        <v>1</v>
      </c>
      <c r="BT64" s="22" t="s">
        <v>1</v>
      </c>
      <c r="BU64" s="22" t="s">
        <v>1</v>
      </c>
      <c r="BV64" s="24">
        <f>38-16</f>
        <v>22</v>
      </c>
      <c r="BW64" s="8">
        <v>46.45040858494448</v>
      </c>
      <c r="BX64" s="24">
        <f>15-37</f>
        <v>-22</v>
      </c>
      <c r="BY64" s="8">
        <v>47.51727613791969</v>
      </c>
      <c r="BZ64" s="24">
        <f>18-35</f>
        <v>-17</v>
      </c>
      <c r="CA64" s="8">
        <v>46.777870338424314</v>
      </c>
      <c r="CB64" s="20">
        <v>-3.799</v>
      </c>
      <c r="CC64" s="22" t="s">
        <v>1</v>
      </c>
      <c r="CD64" s="22" t="s">
        <v>1</v>
      </c>
      <c r="CE64" s="22" t="s">
        <v>1</v>
      </c>
      <c r="CF64" s="22" t="s">
        <v>1</v>
      </c>
      <c r="CG64" s="22" t="s">
        <v>1</v>
      </c>
      <c r="CH64" s="22" t="s">
        <v>1</v>
      </c>
      <c r="CI64" s="24">
        <f>29-22</f>
        <v>7</v>
      </c>
      <c r="CJ64" s="8">
        <v>49.48621354293686</v>
      </c>
      <c r="CK64" s="21">
        <v>-1.033</v>
      </c>
      <c r="CL64" s="24">
        <f>12-43</f>
        <v>-31</v>
      </c>
      <c r="CM64" s="8">
        <v>45.0242832404269</v>
      </c>
      <c r="CN64" s="21">
        <v>-5.589</v>
      </c>
      <c r="CO64" s="24">
        <f>12-6</f>
        <v>6</v>
      </c>
      <c r="CP64" s="10">
        <v>82.2119882079733</v>
      </c>
      <c r="CQ64" s="22" t="s">
        <v>1</v>
      </c>
      <c r="CR64" s="22" t="s">
        <v>1</v>
      </c>
      <c r="CS64" s="22" t="s">
        <v>1</v>
      </c>
      <c r="CT64" s="22" t="s">
        <v>1</v>
      </c>
      <c r="CU64" s="24">
        <f>4-1</f>
        <v>3</v>
      </c>
      <c r="CV64" s="10">
        <v>94.94624476650353</v>
      </c>
      <c r="CW64" s="8">
        <f>17-9</f>
        <v>8</v>
      </c>
      <c r="CX64" s="8">
        <v>73.96686330414978</v>
      </c>
      <c r="CY64" s="24">
        <f>18-29</f>
        <v>-11</v>
      </c>
      <c r="CZ64" s="10">
        <v>53.381923114541806</v>
      </c>
      <c r="DA64" s="22" t="s">
        <v>1</v>
      </c>
      <c r="DB64" s="22" t="s">
        <v>1</v>
      </c>
      <c r="DC64" s="22" t="s">
        <v>1</v>
      </c>
      <c r="DD64" s="22" t="s">
        <v>1</v>
      </c>
      <c r="DE64" s="24">
        <f>29-24</f>
        <v>5</v>
      </c>
      <c r="DF64" s="25">
        <v>47.156576956582356</v>
      </c>
      <c r="DG64" s="24">
        <f>10-32</f>
        <v>-22</v>
      </c>
      <c r="DH64" s="8">
        <v>57.41268505231118</v>
      </c>
      <c r="DI64" s="24">
        <f>15-23</f>
        <v>-8</v>
      </c>
      <c r="DJ64" s="25">
        <v>61.85650010843188</v>
      </c>
      <c r="DK64" s="22" t="s">
        <v>1</v>
      </c>
      <c r="DL64" s="22" t="s">
        <v>1</v>
      </c>
      <c r="DM64" s="22" t="s">
        <v>1</v>
      </c>
      <c r="DN64" s="22" t="s">
        <v>1</v>
      </c>
      <c r="DO64" s="24">
        <f>27-14</f>
        <v>13</v>
      </c>
      <c r="DP64" s="25">
        <v>59.27323214141052</v>
      </c>
      <c r="DQ64" s="24">
        <f>7-29</f>
        <v>-22</v>
      </c>
      <c r="DR64" s="8">
        <v>63.52910399781007</v>
      </c>
      <c r="DS64" s="22" t="s">
        <v>1</v>
      </c>
      <c r="DT64" s="22" t="s">
        <v>1</v>
      </c>
      <c r="DU64" s="22" t="s">
        <v>1</v>
      </c>
      <c r="DV64" s="22" t="s">
        <v>1</v>
      </c>
      <c r="DW64" s="22" t="s">
        <v>1</v>
      </c>
      <c r="DX64" s="22" t="s">
        <v>1</v>
      </c>
      <c r="DY64" s="22" t="s">
        <v>1</v>
      </c>
      <c r="DZ64" s="22" t="s">
        <v>1</v>
      </c>
      <c r="EA64" s="22" t="s">
        <v>1</v>
      </c>
      <c r="EB64" s="22" t="s">
        <v>1</v>
      </c>
      <c r="EC64" s="25">
        <v>70.14606496061765</v>
      </c>
      <c r="ED64" s="25">
        <v>29.151897699288753</v>
      </c>
      <c r="EE64" s="25">
        <v>0.5477660052573174</v>
      </c>
      <c r="EF64" s="16">
        <f>EC64-EE64</f>
        <v>69.59829895536033</v>
      </c>
      <c r="EG64" s="25">
        <v>0.1542713348362847</v>
      </c>
      <c r="EH64" s="8">
        <v>45.306561586510874</v>
      </c>
      <c r="EI64" s="8">
        <v>50.9190072702762</v>
      </c>
      <c r="EJ64" s="8">
        <v>3.203982208094411</v>
      </c>
      <c r="EK64" s="16">
        <f>EH64-EJ64</f>
        <v>42.102579378416465</v>
      </c>
      <c r="EL64" s="23">
        <v>0.5704489351185171</v>
      </c>
      <c r="EM64" s="25">
        <v>29.223580461769455</v>
      </c>
      <c r="EN64" s="25">
        <v>65.01268728866579</v>
      </c>
      <c r="EO64" s="25">
        <v>4.923818325993346</v>
      </c>
      <c r="EP64" s="24">
        <f t="shared" si="40"/>
        <v>24.29976213577611</v>
      </c>
      <c r="EQ64" s="13">
        <v>0.839913923571412</v>
      </c>
      <c r="ER64" s="64">
        <v>27.831097264794064</v>
      </c>
    </row>
    <row r="65" spans="1:148" ht="12">
      <c r="A65" s="1" t="s">
        <v>65</v>
      </c>
      <c r="B65" s="24">
        <f aca="true" t="shared" si="41" ref="B65:AV65">AVERAGE(B61:B64)</f>
        <v>-10</v>
      </c>
      <c r="C65" s="13">
        <f t="shared" si="41"/>
        <v>41.728015519372335</v>
      </c>
      <c r="D65" s="24">
        <f t="shared" si="41"/>
        <v>-32.25</v>
      </c>
      <c r="E65" s="13">
        <f t="shared" si="41"/>
        <v>44.24367367700194</v>
      </c>
      <c r="F65" s="24">
        <f t="shared" si="41"/>
        <v>-27.25</v>
      </c>
      <c r="G65" s="13">
        <f t="shared" si="41"/>
        <v>43.5083096448506</v>
      </c>
      <c r="H65" s="24">
        <f t="shared" si="41"/>
        <v>10.25</v>
      </c>
      <c r="I65" s="13">
        <f t="shared" si="41"/>
        <v>39.55926241684345</v>
      </c>
      <c r="J65" s="24">
        <f t="shared" si="41"/>
        <v>-13.25</v>
      </c>
      <c r="K65" s="13">
        <f t="shared" si="41"/>
        <v>34.597457292226125</v>
      </c>
      <c r="L65" s="21">
        <f t="shared" si="41"/>
        <v>-2.93125</v>
      </c>
      <c r="M65" s="24">
        <f t="shared" si="41"/>
        <v>-37.5</v>
      </c>
      <c r="N65" s="13">
        <f t="shared" si="41"/>
        <v>43.30997348329624</v>
      </c>
      <c r="O65" s="21">
        <f t="shared" si="41"/>
        <v>-5.4830000000000005</v>
      </c>
      <c r="P65" s="24">
        <f t="shared" si="41"/>
        <v>-37.5</v>
      </c>
      <c r="Q65" s="13">
        <f t="shared" si="41"/>
        <v>36.88656845460846</v>
      </c>
      <c r="R65" s="21">
        <f t="shared" si="41"/>
        <v>-4.5915</v>
      </c>
      <c r="S65" s="24">
        <f t="shared" si="41"/>
        <v>8.5</v>
      </c>
      <c r="T65" s="13">
        <f t="shared" si="41"/>
        <v>28.29672172004927</v>
      </c>
      <c r="U65" s="21">
        <f t="shared" si="41"/>
        <v>-0.8160000000000001</v>
      </c>
      <c r="V65" s="24">
        <f t="shared" si="41"/>
        <v>6.25</v>
      </c>
      <c r="W65" s="13">
        <f t="shared" si="41"/>
        <v>87.27190535821342</v>
      </c>
      <c r="X65" s="24">
        <f t="shared" si="41"/>
        <v>8.75</v>
      </c>
      <c r="Y65" s="13">
        <f t="shared" si="41"/>
        <v>81.81815674465315</v>
      </c>
      <c r="Z65" s="24">
        <f t="shared" si="41"/>
        <v>8.75</v>
      </c>
      <c r="AA65" s="13">
        <f t="shared" si="41"/>
        <v>83.88636348479626</v>
      </c>
      <c r="AB65" s="24">
        <f t="shared" si="41"/>
        <v>4.5</v>
      </c>
      <c r="AC65" s="13">
        <f t="shared" si="41"/>
        <v>91.76900847971832</v>
      </c>
      <c r="AD65" s="24">
        <f t="shared" si="41"/>
        <v>-0.75</v>
      </c>
      <c r="AE65" s="13">
        <f t="shared" si="41"/>
        <v>54.604968102251746</v>
      </c>
      <c r="AF65" s="24">
        <f t="shared" si="41"/>
        <v>-8.5</v>
      </c>
      <c r="AG65" s="13">
        <f t="shared" si="41"/>
        <v>55.50995757084385</v>
      </c>
      <c r="AH65" s="24">
        <f t="shared" si="41"/>
        <v>-6.75</v>
      </c>
      <c r="AI65" s="13">
        <f t="shared" si="41"/>
        <v>55.4663703302285</v>
      </c>
      <c r="AJ65" s="24">
        <f t="shared" si="41"/>
        <v>6.25</v>
      </c>
      <c r="AK65" s="13">
        <f t="shared" si="41"/>
        <v>53.767467877874495</v>
      </c>
      <c r="AL65" s="24">
        <f t="shared" si="41"/>
        <v>-3</v>
      </c>
      <c r="AM65" s="13">
        <f t="shared" si="41"/>
        <v>63.167191378782306</v>
      </c>
      <c r="AN65" s="24">
        <f t="shared" si="41"/>
        <v>-19</v>
      </c>
      <c r="AO65" s="13">
        <f t="shared" si="41"/>
        <v>57.633434385476505</v>
      </c>
      <c r="AP65" s="24">
        <f t="shared" si="41"/>
        <v>-15.5</v>
      </c>
      <c r="AQ65" s="13">
        <f t="shared" si="41"/>
        <v>58.44028514319639</v>
      </c>
      <c r="AR65" s="24">
        <f t="shared" si="41"/>
        <v>10.25</v>
      </c>
      <c r="AS65" s="13">
        <f t="shared" si="41"/>
        <v>68.05918424876471</v>
      </c>
      <c r="AT65" s="13">
        <f t="shared" si="41"/>
        <v>22.14728910048324</v>
      </c>
      <c r="AU65" s="13">
        <f t="shared" si="41"/>
        <v>72.01305961344846</v>
      </c>
      <c r="AV65" s="13">
        <f t="shared" si="41"/>
        <v>4.327244209365142</v>
      </c>
      <c r="AW65" s="24">
        <f t="shared" si="33"/>
        <v>17.820044891118094</v>
      </c>
      <c r="AX65" s="13">
        <f>AVERAGE(AX61:AX64)</f>
        <v>1.5124070767031568</v>
      </c>
      <c r="AY65" s="13">
        <f>AVERAGE(AY61:AY64)</f>
        <v>27.517348230118746</v>
      </c>
      <c r="AZ65" s="13">
        <f>AVERAGE(AZ61:AZ64)</f>
        <v>69.02043397335508</v>
      </c>
      <c r="BA65" s="13">
        <f>AVERAGE(BA61:BA64)</f>
        <v>2.853963987426074</v>
      </c>
      <c r="BB65" s="24">
        <f t="shared" si="30"/>
        <v>24.663384242692672</v>
      </c>
      <c r="BC65" s="13">
        <f>AVERAGE(BC61:BC64)</f>
        <v>0.6082538091000951</v>
      </c>
      <c r="BD65" s="13">
        <f>AVERAGE(BD61:BD64)</f>
        <v>57.2774631805633</v>
      </c>
      <c r="BE65" s="13">
        <f>AVERAGE(BE61:BE64)</f>
        <v>42.43622533754588</v>
      </c>
      <c r="BF65" s="13">
        <f>AVERAGE(BF61:BF64)</f>
        <v>0.2797787226008666</v>
      </c>
      <c r="BG65" s="24">
        <f t="shared" si="31"/>
        <v>56.997684457962436</v>
      </c>
      <c r="BH65" s="13">
        <f>AVERAGE(BH61:BH64)</f>
        <v>0.006532759289957394</v>
      </c>
      <c r="BI65" s="13">
        <f>AVERAGE(BI61:BI64)</f>
        <v>43.31496004438807</v>
      </c>
      <c r="BJ65" s="13">
        <f>AVERAGE(BJ61:BJ64)</f>
        <v>59.1708437907345</v>
      </c>
      <c r="BK65" s="13">
        <f>AVERAGE(BK61:BK64)</f>
        <v>2.119123994087267</v>
      </c>
      <c r="BL65" s="24">
        <f t="shared" si="32"/>
        <v>41.195836050300805</v>
      </c>
      <c r="BM65" s="13">
        <f aca="true" t="shared" si="42" ref="BM65:CV65">AVERAGE(BM61:BM64)</f>
        <v>0.6450721707901573</v>
      </c>
      <c r="BN65" s="14">
        <f t="shared" si="42"/>
        <v>29.25304788007342</v>
      </c>
      <c r="BO65" s="13"/>
      <c r="BP65" s="24">
        <f t="shared" si="42"/>
        <v>-18.25</v>
      </c>
      <c r="BQ65" s="13">
        <f t="shared" si="42"/>
        <v>44.47253967743458</v>
      </c>
      <c r="BR65" s="22" t="s">
        <v>1</v>
      </c>
      <c r="BS65" s="22" t="s">
        <v>1</v>
      </c>
      <c r="BT65" s="22" t="s">
        <v>1</v>
      </c>
      <c r="BU65" s="22" t="s">
        <v>1</v>
      </c>
      <c r="BV65" s="24">
        <f t="shared" si="42"/>
        <v>5</v>
      </c>
      <c r="BW65" s="13">
        <f t="shared" si="42"/>
        <v>43.79026665888697</v>
      </c>
      <c r="BX65" s="24">
        <f t="shared" si="42"/>
        <v>-32.75</v>
      </c>
      <c r="BY65" s="13">
        <f t="shared" si="42"/>
        <v>44.90296211199368</v>
      </c>
      <c r="BZ65" s="24">
        <f t="shared" si="42"/>
        <v>-24.25</v>
      </c>
      <c r="CA65" s="13">
        <f t="shared" si="42"/>
        <v>43.1930149694104</v>
      </c>
      <c r="CB65" s="21">
        <f t="shared" si="42"/>
        <v>-4.3405</v>
      </c>
      <c r="CC65" s="22" t="s">
        <v>1</v>
      </c>
      <c r="CD65" s="22" t="s">
        <v>1</v>
      </c>
      <c r="CE65" s="22" t="s">
        <v>1</v>
      </c>
      <c r="CF65" s="22" t="s">
        <v>1</v>
      </c>
      <c r="CG65" s="22" t="s">
        <v>1</v>
      </c>
      <c r="CH65" s="22" t="s">
        <v>1</v>
      </c>
      <c r="CI65" s="24">
        <f t="shared" si="42"/>
        <v>-0.5</v>
      </c>
      <c r="CJ65" s="13">
        <f t="shared" si="42"/>
        <v>40.292050555039864</v>
      </c>
      <c r="CK65" s="21">
        <f t="shared" si="42"/>
        <v>-1.491</v>
      </c>
      <c r="CL65" s="24">
        <f t="shared" si="42"/>
        <v>-38.75</v>
      </c>
      <c r="CM65" s="21">
        <f t="shared" si="42"/>
        <v>45.040760797507744</v>
      </c>
      <c r="CN65" s="21">
        <f t="shared" si="42"/>
        <v>-6.151249999999999</v>
      </c>
      <c r="CO65" s="24">
        <f t="shared" si="42"/>
        <v>8.25</v>
      </c>
      <c r="CP65" s="13">
        <f t="shared" si="42"/>
        <v>83.92856444721525</v>
      </c>
      <c r="CQ65" s="22" t="s">
        <v>1</v>
      </c>
      <c r="CR65" s="22" t="s">
        <v>1</v>
      </c>
      <c r="CS65" s="22" t="s">
        <v>1</v>
      </c>
      <c r="CT65" s="22" t="s">
        <v>1</v>
      </c>
      <c r="CU65" s="24">
        <f t="shared" si="42"/>
        <v>3.25</v>
      </c>
      <c r="CV65" s="13">
        <f t="shared" si="42"/>
        <v>91.60128921149463</v>
      </c>
      <c r="CW65" s="13">
        <f>AVERAGE(CW61:CW64)</f>
        <v>11.5</v>
      </c>
      <c r="CX65" s="13">
        <f>AVERAGE(CX61:CX64)</f>
        <v>78.97213740978434</v>
      </c>
      <c r="CY65" s="24">
        <f aca="true" t="shared" si="43" ref="CY65:DR65">AVERAGE(CY61:CY64)</f>
        <v>0.5</v>
      </c>
      <c r="CZ65" s="13">
        <f t="shared" si="43"/>
        <v>51.99942137692105</v>
      </c>
      <c r="DA65" s="22" t="s">
        <v>1</v>
      </c>
      <c r="DB65" s="22" t="s">
        <v>1</v>
      </c>
      <c r="DC65" s="22" t="s">
        <v>1</v>
      </c>
      <c r="DD65" s="22" t="s">
        <v>1</v>
      </c>
      <c r="DE65" s="24">
        <f t="shared" si="43"/>
        <v>17.5</v>
      </c>
      <c r="DF65" s="13">
        <f t="shared" si="43"/>
        <v>44.70097675669649</v>
      </c>
      <c r="DG65" s="24">
        <f t="shared" si="43"/>
        <v>-10.75</v>
      </c>
      <c r="DH65" s="13">
        <f t="shared" si="43"/>
        <v>56.66225693997189</v>
      </c>
      <c r="DI65" s="24">
        <f t="shared" si="43"/>
        <v>-3.25</v>
      </c>
      <c r="DJ65" s="13">
        <f t="shared" si="43"/>
        <v>55.37873445985227</v>
      </c>
      <c r="DK65" s="22" t="s">
        <v>1</v>
      </c>
      <c r="DL65" s="22" t="s">
        <v>1</v>
      </c>
      <c r="DM65" s="22" t="s">
        <v>1</v>
      </c>
      <c r="DN65" s="22" t="s">
        <v>1</v>
      </c>
      <c r="DO65" s="24">
        <f t="shared" si="43"/>
        <v>19</v>
      </c>
      <c r="DP65" s="13">
        <f t="shared" si="43"/>
        <v>52.60257699017312</v>
      </c>
      <c r="DQ65" s="13">
        <f t="shared" si="43"/>
        <v>-17.5</v>
      </c>
      <c r="DR65" s="13">
        <f t="shared" si="43"/>
        <v>57.12953143594897</v>
      </c>
      <c r="DS65" s="22" t="s">
        <v>1</v>
      </c>
      <c r="DT65" s="22" t="s">
        <v>1</v>
      </c>
      <c r="DU65" s="22" t="s">
        <v>1</v>
      </c>
      <c r="DV65" s="22" t="s">
        <v>1</v>
      </c>
      <c r="DW65" s="22" t="s">
        <v>1</v>
      </c>
      <c r="DX65" s="22" t="s">
        <v>1</v>
      </c>
      <c r="DY65" s="22" t="s">
        <v>1</v>
      </c>
      <c r="DZ65" s="22" t="s">
        <v>1</v>
      </c>
      <c r="EA65" s="22" t="s">
        <v>1</v>
      </c>
      <c r="EB65" s="22" t="s">
        <v>1</v>
      </c>
      <c r="EC65" s="13">
        <f aca="true" t="shared" si="44" ref="EC65:EO65">AVERAGE(EC61:EC64)</f>
        <v>63.90885707731769</v>
      </c>
      <c r="ED65" s="13">
        <f t="shared" si="44"/>
        <v>35.43036895630675</v>
      </c>
      <c r="EE65" s="13">
        <f t="shared" si="44"/>
        <v>0.496026023144879</v>
      </c>
      <c r="EF65" s="13">
        <f t="shared" si="44"/>
        <v>63.41283105417281</v>
      </c>
      <c r="EG65" s="13">
        <f t="shared" si="44"/>
        <v>0.16474794323067787</v>
      </c>
      <c r="EH65" s="13">
        <f t="shared" si="44"/>
        <v>38.27365088660087</v>
      </c>
      <c r="EI65" s="13">
        <f t="shared" si="44"/>
        <v>57.87505557796521</v>
      </c>
      <c r="EJ65" s="13">
        <f t="shared" si="44"/>
        <v>2.6701291239592266</v>
      </c>
      <c r="EK65" s="13">
        <f t="shared" si="44"/>
        <v>35.60352176264165</v>
      </c>
      <c r="EL65" s="13">
        <f t="shared" si="44"/>
        <v>1.181164411474691</v>
      </c>
      <c r="EM65" s="13">
        <f t="shared" si="44"/>
        <v>21.852668668376527</v>
      </c>
      <c r="EN65" s="13">
        <f t="shared" si="44"/>
        <v>72.25021685982684</v>
      </c>
      <c r="EO65" s="13">
        <f t="shared" si="44"/>
        <v>4.063355833062225</v>
      </c>
      <c r="EP65" s="24">
        <f t="shared" si="40"/>
        <v>17.789312835314302</v>
      </c>
      <c r="EQ65" s="13">
        <f>AVERAGE(EQ61:EQ64)</f>
        <v>1.833758638734416</v>
      </c>
      <c r="ER65" s="64">
        <f>AVERAGE(ER61:ER64)</f>
        <v>26.745466984650946</v>
      </c>
    </row>
    <row r="66" spans="1:148" ht="12">
      <c r="A66" s="1" t="s">
        <v>67</v>
      </c>
      <c r="B66" s="24">
        <f>21-38</f>
        <v>-17</v>
      </c>
      <c r="C66" s="8">
        <v>41.1722441321875</v>
      </c>
      <c r="D66" s="23">
        <f>13-45</f>
        <v>-32</v>
      </c>
      <c r="E66" s="8">
        <v>42.1037328135899</v>
      </c>
      <c r="F66" s="23">
        <f>10-43</f>
        <v>-33</v>
      </c>
      <c r="G66" s="8">
        <v>46.7854702531509</v>
      </c>
      <c r="H66" s="23">
        <f>29-32</f>
        <v>-3</v>
      </c>
      <c r="I66" s="8">
        <v>38.943044576937844</v>
      </c>
      <c r="J66" s="23">
        <f>33-31</f>
        <v>2</v>
      </c>
      <c r="K66" s="8">
        <v>36.05258682850484</v>
      </c>
      <c r="L66" s="20">
        <v>-0.841</v>
      </c>
      <c r="M66" s="23">
        <f>19-43</f>
        <v>-24</v>
      </c>
      <c r="N66" s="8">
        <v>38.287383559666516</v>
      </c>
      <c r="O66" s="20">
        <v>-3.258</v>
      </c>
      <c r="P66" s="23">
        <f>21-35</f>
        <v>-14</v>
      </c>
      <c r="Q66" s="8">
        <v>43.292676973090764</v>
      </c>
      <c r="R66" s="20">
        <v>-2.033</v>
      </c>
      <c r="S66" s="23">
        <f>46-21</f>
        <v>25</v>
      </c>
      <c r="T66" s="8">
        <v>32.51811475945249</v>
      </c>
      <c r="U66" s="20">
        <v>1.046</v>
      </c>
      <c r="V66" s="23">
        <f>8-3</f>
        <v>5</v>
      </c>
      <c r="W66" s="10">
        <v>88.41762274380062</v>
      </c>
      <c r="X66" s="23">
        <f>17-5</f>
        <v>12</v>
      </c>
      <c r="Y66" s="10">
        <v>78.18675782920104</v>
      </c>
      <c r="Z66" s="23">
        <f>10-4</f>
        <v>6</v>
      </c>
      <c r="AA66" s="10">
        <v>85.40607520934364</v>
      </c>
      <c r="AB66" s="23">
        <f>3-2</f>
        <v>1</v>
      </c>
      <c r="AC66" s="10">
        <v>95.82131586613103</v>
      </c>
      <c r="AD66" s="23">
        <f>48-8</f>
        <v>40</v>
      </c>
      <c r="AE66" s="10">
        <v>44.19404241172837</v>
      </c>
      <c r="AF66" s="23">
        <f>33-16</f>
        <v>17</v>
      </c>
      <c r="AG66" s="10">
        <v>50.75824008703385</v>
      </c>
      <c r="AH66" s="23">
        <f>41-12</f>
        <v>29</v>
      </c>
      <c r="AI66" s="10">
        <v>46.85105246650243</v>
      </c>
      <c r="AJ66" s="23">
        <f>58-2</f>
        <v>56</v>
      </c>
      <c r="AK66" s="10">
        <v>39.23267025712555</v>
      </c>
      <c r="AL66" s="23">
        <f>44-9</f>
        <v>35</v>
      </c>
      <c r="AM66" s="10">
        <v>47.7252055258551</v>
      </c>
      <c r="AN66" s="23">
        <f>28-18</f>
        <v>10</v>
      </c>
      <c r="AO66" s="10">
        <v>54.59496147335021</v>
      </c>
      <c r="AP66" s="23">
        <f>35-12</f>
        <v>23</v>
      </c>
      <c r="AQ66" s="10">
        <v>52.87766067946593</v>
      </c>
      <c r="AR66" s="23">
        <f>56-2</f>
        <v>54</v>
      </c>
      <c r="AS66" s="10">
        <v>41.84205488460867</v>
      </c>
      <c r="AT66" s="25">
        <v>25.554227946586312</v>
      </c>
      <c r="AU66" s="25">
        <v>70.65463533569736</v>
      </c>
      <c r="AV66" s="25">
        <v>3.486875149265798</v>
      </c>
      <c r="AW66" s="24">
        <f aca="true" t="shared" si="45" ref="AW66:AW75">AT66-AV66</f>
        <v>22.067352797320513</v>
      </c>
      <c r="AX66" s="25">
        <v>0.30426156845053426</v>
      </c>
      <c r="AY66" s="25">
        <v>33.77021280390955</v>
      </c>
      <c r="AZ66" s="25">
        <v>64.37235124160672</v>
      </c>
      <c r="BA66" s="25">
        <v>1.857435954483722</v>
      </c>
      <c r="BB66" s="24">
        <f aca="true" t="shared" si="46" ref="BB66:BB75">AY66-BA66</f>
        <v>31.91277684942583</v>
      </c>
      <c r="BC66" s="12">
        <v>0</v>
      </c>
      <c r="BD66" s="25">
        <v>59.22552356932228</v>
      </c>
      <c r="BE66" s="25">
        <v>40.73088066817875</v>
      </c>
      <c r="BF66" s="25">
        <v>0.04359576249896633</v>
      </c>
      <c r="BG66" s="24">
        <f aca="true" t="shared" si="47" ref="BG66:BG75">BD66-BF66</f>
        <v>59.18192780682331</v>
      </c>
      <c r="BH66" s="25">
        <v>0</v>
      </c>
      <c r="BI66" s="8">
        <v>47.34559746336158</v>
      </c>
      <c r="BJ66" s="8">
        <v>57.9887934026227</v>
      </c>
      <c r="BK66" s="8">
        <v>1.5579568867725413</v>
      </c>
      <c r="BL66" s="24">
        <f aca="true" t="shared" si="48" ref="BL66:BL75">BI66-BK66</f>
        <v>45.787640576589034</v>
      </c>
      <c r="BM66" s="8">
        <v>0.10765224724317932</v>
      </c>
      <c r="BN66" s="63">
        <v>35.241176226618556</v>
      </c>
      <c r="BO66" s="8"/>
      <c r="BP66" s="24">
        <f>9-41</f>
        <v>-32</v>
      </c>
      <c r="BQ66" s="8">
        <v>49.74187488811991</v>
      </c>
      <c r="BR66" s="22" t="s">
        <v>1</v>
      </c>
      <c r="BS66" s="22" t="s">
        <v>1</v>
      </c>
      <c r="BT66" s="22" t="s">
        <v>1</v>
      </c>
      <c r="BU66" s="22" t="s">
        <v>1</v>
      </c>
      <c r="BV66" s="24">
        <f>15-39</f>
        <v>-24</v>
      </c>
      <c r="BW66" s="8">
        <v>46.42212582827495</v>
      </c>
      <c r="BX66" s="24">
        <f>5-43</f>
        <v>-38</v>
      </c>
      <c r="BY66" s="8">
        <v>51.80771642833655</v>
      </c>
      <c r="BZ66" s="24">
        <f>18-33</f>
        <v>-15</v>
      </c>
      <c r="CA66" s="8">
        <v>49.182529148363976</v>
      </c>
      <c r="CB66" s="20">
        <v>-2.523</v>
      </c>
      <c r="CC66" s="22" t="s">
        <v>1</v>
      </c>
      <c r="CD66" s="22" t="s">
        <v>1</v>
      </c>
      <c r="CE66" s="22" t="s">
        <v>1</v>
      </c>
      <c r="CF66" s="22" t="s">
        <v>1</v>
      </c>
      <c r="CG66" s="22" t="s">
        <v>1</v>
      </c>
      <c r="CH66" s="22" t="s">
        <v>1</v>
      </c>
      <c r="CI66" s="24">
        <f>33-29</f>
        <v>4</v>
      </c>
      <c r="CJ66" s="8">
        <v>38.15786362255953</v>
      </c>
      <c r="CK66" s="21">
        <v>-0.295</v>
      </c>
      <c r="CL66" s="24">
        <f>9-35</f>
        <v>-26</v>
      </c>
      <c r="CM66" s="8">
        <v>56.04305131423659</v>
      </c>
      <c r="CN66" s="21">
        <v>-3.909</v>
      </c>
      <c r="CO66" s="24">
        <f>11-4</f>
        <v>7</v>
      </c>
      <c r="CP66" s="10">
        <v>85.05634805393524</v>
      </c>
      <c r="CQ66" s="22" t="s">
        <v>1</v>
      </c>
      <c r="CR66" s="22" t="s">
        <v>1</v>
      </c>
      <c r="CS66" s="22" t="s">
        <v>1</v>
      </c>
      <c r="CT66" s="22" t="s">
        <v>1</v>
      </c>
      <c r="CU66" s="24">
        <f>2-3</f>
        <v>-1</v>
      </c>
      <c r="CV66" s="10">
        <v>94.60859211736123</v>
      </c>
      <c r="CW66" s="8">
        <f>16-5</f>
        <v>11</v>
      </c>
      <c r="CX66" s="8">
        <v>79.11209677687191</v>
      </c>
      <c r="CY66" s="24">
        <f>31-9</f>
        <v>22</v>
      </c>
      <c r="CZ66" s="10">
        <v>59.85540111631909</v>
      </c>
      <c r="DA66" s="22" t="s">
        <v>1</v>
      </c>
      <c r="DB66" s="22" t="s">
        <v>1</v>
      </c>
      <c r="DC66" s="22" t="s">
        <v>1</v>
      </c>
      <c r="DD66" s="22" t="s">
        <v>1</v>
      </c>
      <c r="DE66" s="24">
        <f>53-2</f>
        <v>51</v>
      </c>
      <c r="DF66" s="25">
        <v>44.24796198839084</v>
      </c>
      <c r="DG66" s="24">
        <f>17-13</f>
        <v>4</v>
      </c>
      <c r="DH66" s="8">
        <v>69.56773042363807</v>
      </c>
      <c r="DI66" s="24">
        <f>26-13</f>
        <v>13</v>
      </c>
      <c r="DJ66" s="25">
        <v>61.74420037001658</v>
      </c>
      <c r="DK66" s="22" t="s">
        <v>1</v>
      </c>
      <c r="DL66" s="22" t="s">
        <v>1</v>
      </c>
      <c r="DM66" s="22" t="s">
        <v>1</v>
      </c>
      <c r="DN66" s="22" t="s">
        <v>1</v>
      </c>
      <c r="DO66" s="24">
        <f>48-2</f>
        <v>46</v>
      </c>
      <c r="DP66" s="25">
        <v>50.44048490317058</v>
      </c>
      <c r="DQ66" s="24">
        <f>12-19</f>
        <v>-7</v>
      </c>
      <c r="DR66" s="8">
        <v>68.77837209481868</v>
      </c>
      <c r="DS66" s="22" t="s">
        <v>1</v>
      </c>
      <c r="DT66" s="22" t="s">
        <v>1</v>
      </c>
      <c r="DU66" s="22" t="s">
        <v>1</v>
      </c>
      <c r="DV66" s="22" t="s">
        <v>1</v>
      </c>
      <c r="DW66" s="22" t="s">
        <v>1</v>
      </c>
      <c r="DX66" s="22" t="s">
        <v>1</v>
      </c>
      <c r="DY66" s="22" t="s">
        <v>1</v>
      </c>
      <c r="DZ66" s="22" t="s">
        <v>1</v>
      </c>
      <c r="EA66" s="22" t="s">
        <v>1</v>
      </c>
      <c r="EB66" s="22" t="s">
        <v>1</v>
      </c>
      <c r="EC66" s="25">
        <v>57.42341858884149</v>
      </c>
      <c r="ED66" s="25">
        <v>41.961587032822635</v>
      </c>
      <c r="EE66" s="25">
        <v>0.5054836094308507</v>
      </c>
      <c r="EF66" s="16">
        <f>EC66-EE66</f>
        <v>56.91793497941064</v>
      </c>
      <c r="EG66" s="25">
        <v>0.10951076890502238</v>
      </c>
      <c r="EH66" s="8">
        <v>35.043967533076184</v>
      </c>
      <c r="EI66" s="8">
        <v>60.60911762531707</v>
      </c>
      <c r="EJ66" s="8">
        <v>3.709537588397571</v>
      </c>
      <c r="EK66" s="16">
        <f>EH66-EJ66</f>
        <v>31.334429944678615</v>
      </c>
      <c r="EL66" s="23">
        <v>0.6373772532091712</v>
      </c>
      <c r="EM66" s="25">
        <v>21.11749333131701</v>
      </c>
      <c r="EN66" s="25">
        <v>72.21326077770183</v>
      </c>
      <c r="EO66" s="25">
        <v>5.703383414550164</v>
      </c>
      <c r="EP66" s="24">
        <f t="shared" si="40"/>
        <v>15.414109916766847</v>
      </c>
      <c r="EQ66" s="13">
        <v>0.9658624764309993</v>
      </c>
      <c r="ER66" s="107" t="s">
        <v>193</v>
      </c>
    </row>
    <row r="67" spans="1:148" ht="12">
      <c r="A67" s="1" t="s">
        <v>36</v>
      </c>
      <c r="B67" s="24">
        <f>25-23</f>
        <v>2</v>
      </c>
      <c r="C67" s="8">
        <v>52.16723506139063</v>
      </c>
      <c r="D67" s="23">
        <f>16-31</f>
        <v>-15</v>
      </c>
      <c r="E67" s="8">
        <v>53.05646265444891</v>
      </c>
      <c r="F67" s="23">
        <f>18-30</f>
        <v>-12</v>
      </c>
      <c r="G67" s="8">
        <v>51.78591476991331</v>
      </c>
      <c r="H67" s="23">
        <f>33-15</f>
        <v>18</v>
      </c>
      <c r="I67" s="8">
        <v>51.71104402176929</v>
      </c>
      <c r="J67" s="23">
        <f>28-25</f>
        <v>3</v>
      </c>
      <c r="K67" s="8">
        <v>46.947948365892856</v>
      </c>
      <c r="L67" s="20">
        <v>-1.005</v>
      </c>
      <c r="M67" s="23">
        <f>11-35</f>
        <v>-24</v>
      </c>
      <c r="N67" s="8">
        <v>53.81278308124443</v>
      </c>
      <c r="O67" s="20">
        <v>-3.581</v>
      </c>
      <c r="P67" s="23">
        <f>20-31</f>
        <v>-11</v>
      </c>
      <c r="Q67" s="8">
        <v>49.10558724985946</v>
      </c>
      <c r="R67" s="20">
        <v>-2.051</v>
      </c>
      <c r="S67" s="23">
        <f>42-16</f>
        <v>26</v>
      </c>
      <c r="T67" s="8">
        <v>41.9402460396268</v>
      </c>
      <c r="U67" s="20">
        <v>0.942</v>
      </c>
      <c r="V67" s="23">
        <f>8-3</f>
        <v>5</v>
      </c>
      <c r="W67" s="10">
        <v>89.45607093589987</v>
      </c>
      <c r="X67" s="23">
        <f>12-5</f>
        <v>7</v>
      </c>
      <c r="Y67" s="10">
        <v>82.60417814748578</v>
      </c>
      <c r="Z67" s="23">
        <f>14-4</f>
        <v>10</v>
      </c>
      <c r="AA67" s="10">
        <v>82.22044796218701</v>
      </c>
      <c r="AB67" s="23">
        <f>3-1</f>
        <v>2</v>
      </c>
      <c r="AC67" s="10">
        <v>95.934596664192</v>
      </c>
      <c r="AD67" s="23">
        <f>25-16</f>
        <v>9</v>
      </c>
      <c r="AE67" s="10">
        <v>58.85252468592702</v>
      </c>
      <c r="AF67" s="23">
        <f>15-24</f>
        <v>-9</v>
      </c>
      <c r="AG67" s="10">
        <v>61.13643331086771</v>
      </c>
      <c r="AH67" s="23">
        <f>22-20</f>
        <v>2</v>
      </c>
      <c r="AI67" s="10">
        <v>58.01945730835101</v>
      </c>
      <c r="AJ67" s="23">
        <f>32-10</f>
        <v>22</v>
      </c>
      <c r="AK67" s="10">
        <v>57.63821531759441</v>
      </c>
      <c r="AL67" s="23">
        <f>23-16</f>
        <v>7</v>
      </c>
      <c r="AM67" s="10">
        <v>61.52831033891418</v>
      </c>
      <c r="AN67" s="23">
        <f>15-24</f>
        <v>-9</v>
      </c>
      <c r="AO67" s="10">
        <v>61.76333718374114</v>
      </c>
      <c r="AP67" s="23">
        <f>17-25</f>
        <v>-8</v>
      </c>
      <c r="AQ67" s="10">
        <v>58.64025150377047</v>
      </c>
      <c r="AR67" s="23">
        <f>30-8</f>
        <v>22</v>
      </c>
      <c r="AS67" s="10">
        <v>62.21959454592333</v>
      </c>
      <c r="AT67" s="25">
        <v>19.559192032226306</v>
      </c>
      <c r="AU67" s="25">
        <v>76.51194068879805</v>
      </c>
      <c r="AV67" s="25">
        <v>3.2498682367491907</v>
      </c>
      <c r="AW67" s="24">
        <f t="shared" si="45"/>
        <v>16.309323795477116</v>
      </c>
      <c r="AX67" s="25">
        <v>0.6789990422264491</v>
      </c>
      <c r="AY67" s="25">
        <v>25.80361308837445</v>
      </c>
      <c r="AZ67" s="25">
        <v>69.79115701157636</v>
      </c>
      <c r="BA67" s="25">
        <v>3.7547755421066364</v>
      </c>
      <c r="BB67" s="24">
        <f t="shared" si="46"/>
        <v>22.048837546267816</v>
      </c>
      <c r="BC67" s="25">
        <v>0.6504543579425625</v>
      </c>
      <c r="BD67" s="25">
        <v>51.684469644225</v>
      </c>
      <c r="BE67" s="25">
        <v>48.05531846650067</v>
      </c>
      <c r="BF67" s="25">
        <v>0.16973722047722994</v>
      </c>
      <c r="BG67" s="24">
        <f t="shared" si="47"/>
        <v>51.514732423747766</v>
      </c>
      <c r="BH67" s="25">
        <v>0.09047466879709697</v>
      </c>
      <c r="BI67" s="8">
        <v>39.75492682653596</v>
      </c>
      <c r="BJ67" s="8">
        <v>64.99899348180504</v>
      </c>
      <c r="BK67" s="8">
        <v>1.8505783437650933</v>
      </c>
      <c r="BL67" s="24">
        <f t="shared" si="48"/>
        <v>37.904348482770864</v>
      </c>
      <c r="BM67" s="8">
        <v>0.39550134789390623</v>
      </c>
      <c r="BN67" s="63">
        <v>28.837460080461202</v>
      </c>
      <c r="BO67" s="8"/>
      <c r="BP67" s="24">
        <f>17-33</f>
        <v>-16</v>
      </c>
      <c r="BQ67" s="8">
        <v>50.28223568619153</v>
      </c>
      <c r="BR67" s="22" t="s">
        <v>1</v>
      </c>
      <c r="BS67" s="22" t="s">
        <v>1</v>
      </c>
      <c r="BT67" s="22" t="s">
        <v>1</v>
      </c>
      <c r="BU67" s="22" t="s">
        <v>1</v>
      </c>
      <c r="BV67" s="24">
        <f>28-16</f>
        <v>12</v>
      </c>
      <c r="BW67" s="8">
        <v>56.12197110692766</v>
      </c>
      <c r="BX67" s="24">
        <f>10-44</f>
        <v>-34</v>
      </c>
      <c r="BY67" s="8">
        <v>46.648235706507926</v>
      </c>
      <c r="BZ67" s="24">
        <f>17-38</f>
        <v>-21</v>
      </c>
      <c r="CA67" s="8">
        <v>45.530691872923136</v>
      </c>
      <c r="CB67" s="20">
        <v>-3.098</v>
      </c>
      <c r="CC67" s="22" t="s">
        <v>1</v>
      </c>
      <c r="CD67" s="22" t="s">
        <v>1</v>
      </c>
      <c r="CE67" s="22" t="s">
        <v>1</v>
      </c>
      <c r="CF67" s="22" t="s">
        <v>1</v>
      </c>
      <c r="CG67" s="22" t="s">
        <v>1</v>
      </c>
      <c r="CH67" s="22" t="s">
        <v>1</v>
      </c>
      <c r="CI67" s="24">
        <f>31-25</f>
        <v>6</v>
      </c>
      <c r="CJ67" s="8">
        <v>44.261795894857784</v>
      </c>
      <c r="CK67" s="21">
        <v>0.099</v>
      </c>
      <c r="CL67" s="24">
        <f>8-46</f>
        <v>-38</v>
      </c>
      <c r="CM67" s="8">
        <v>46.320311200904406</v>
      </c>
      <c r="CN67" s="21">
        <v>-5.088</v>
      </c>
      <c r="CO67" s="24">
        <f>14-5</f>
        <v>9</v>
      </c>
      <c r="CP67" s="10">
        <v>81.64009684248748</v>
      </c>
      <c r="CQ67" s="22" t="s">
        <v>1</v>
      </c>
      <c r="CR67" s="22" t="s">
        <v>1</v>
      </c>
      <c r="CS67" s="22" t="s">
        <v>1</v>
      </c>
      <c r="CT67" s="22" t="s">
        <v>1</v>
      </c>
      <c r="CU67" s="24">
        <f>3-2</f>
        <v>1</v>
      </c>
      <c r="CV67" s="10">
        <v>95.375785031542</v>
      </c>
      <c r="CW67" s="8">
        <f>21-6</f>
        <v>15</v>
      </c>
      <c r="CX67" s="8">
        <v>73.09253655016312</v>
      </c>
      <c r="CY67" s="24">
        <f>28-22</f>
        <v>6</v>
      </c>
      <c r="CZ67" s="10">
        <v>50.53918149677193</v>
      </c>
      <c r="DA67" s="22" t="s">
        <v>1</v>
      </c>
      <c r="DB67" s="22" t="s">
        <v>1</v>
      </c>
      <c r="DC67" s="22" t="s">
        <v>1</v>
      </c>
      <c r="DD67" s="22" t="s">
        <v>1</v>
      </c>
      <c r="DE67" s="24">
        <f>38-12</f>
        <v>26</v>
      </c>
      <c r="DF67" s="25">
        <v>49.4460801425271</v>
      </c>
      <c r="DG67" s="24">
        <f>21-27</f>
        <v>-6</v>
      </c>
      <c r="DH67" s="8">
        <v>51.21940585848063</v>
      </c>
      <c r="DI67" s="24">
        <f>20-23</f>
        <v>-3</v>
      </c>
      <c r="DJ67" s="25">
        <v>56.94168121865065</v>
      </c>
      <c r="DK67" s="22" t="s">
        <v>1</v>
      </c>
      <c r="DL67" s="22" t="s">
        <v>1</v>
      </c>
      <c r="DM67" s="22" t="s">
        <v>1</v>
      </c>
      <c r="DN67" s="22" t="s">
        <v>1</v>
      </c>
      <c r="DO67" s="24">
        <f>36-8</f>
        <v>28</v>
      </c>
      <c r="DP67" s="25">
        <v>55.07816989074021</v>
      </c>
      <c r="DQ67" s="24">
        <f>10-32</f>
        <v>-22</v>
      </c>
      <c r="DR67" s="8">
        <v>58.101322818802636</v>
      </c>
      <c r="DS67" s="22" t="s">
        <v>1</v>
      </c>
      <c r="DT67" s="22" t="s">
        <v>1</v>
      </c>
      <c r="DU67" s="22" t="s">
        <v>1</v>
      </c>
      <c r="DV67" s="22" t="s">
        <v>1</v>
      </c>
      <c r="DW67" s="22" t="s">
        <v>1</v>
      </c>
      <c r="DX67" s="22" t="s">
        <v>1</v>
      </c>
      <c r="DY67" s="22" t="s">
        <v>1</v>
      </c>
      <c r="DZ67" s="22" t="s">
        <v>1</v>
      </c>
      <c r="EA67" s="22" t="s">
        <v>1</v>
      </c>
      <c r="EB67" s="22" t="s">
        <v>1</v>
      </c>
      <c r="EC67" s="25">
        <v>49.56079121899196</v>
      </c>
      <c r="ED67" s="25">
        <v>47.90897228665859</v>
      </c>
      <c r="EE67" s="25">
        <v>2.5302364943494497</v>
      </c>
      <c r="EF67" s="16">
        <f>EC67-EE67</f>
        <v>47.030554724642506</v>
      </c>
      <c r="EG67" s="25">
        <v>0</v>
      </c>
      <c r="EH67" s="8">
        <v>28.59320490449764</v>
      </c>
      <c r="EI67" s="8">
        <v>64.59195002198831</v>
      </c>
      <c r="EJ67" s="8">
        <v>6.003971690772884</v>
      </c>
      <c r="EK67" s="16">
        <f>EH67-EJ67</f>
        <v>22.589233213724754</v>
      </c>
      <c r="EL67" s="23">
        <v>0.8108733827411736</v>
      </c>
      <c r="EM67" s="25">
        <v>15.545317842641445</v>
      </c>
      <c r="EN67" s="25">
        <v>74.97357459627555</v>
      </c>
      <c r="EO67" s="25">
        <v>8.165637027254459</v>
      </c>
      <c r="EP67" s="24">
        <f t="shared" si="40"/>
        <v>7.379680815386987</v>
      </c>
      <c r="EQ67" s="13">
        <v>1.3154705338285322</v>
      </c>
      <c r="ER67" s="107" t="s">
        <v>193</v>
      </c>
    </row>
    <row r="68" spans="1:148" ht="12">
      <c r="A68" s="1" t="s">
        <v>32</v>
      </c>
      <c r="B68" s="24">
        <f>25-23</f>
        <v>2</v>
      </c>
      <c r="C68" s="8">
        <v>52.73537642598465</v>
      </c>
      <c r="D68" s="23">
        <f>14-27</f>
        <v>-13</v>
      </c>
      <c r="E68" s="8">
        <v>59.03048935624806</v>
      </c>
      <c r="F68" s="23">
        <f>20-29</f>
        <v>-9</v>
      </c>
      <c r="G68" s="8">
        <v>50.90125095888709</v>
      </c>
      <c r="H68" s="23">
        <f>33-18</f>
        <v>15</v>
      </c>
      <c r="I68" s="8">
        <v>49.36931688044223</v>
      </c>
      <c r="J68" s="23">
        <f>27-23</f>
        <v>4</v>
      </c>
      <c r="K68" s="8">
        <v>49.98762468918333</v>
      </c>
      <c r="L68" s="20">
        <v>-0.736</v>
      </c>
      <c r="M68" s="23">
        <f>11-32</f>
        <v>-21</v>
      </c>
      <c r="N68" s="8">
        <v>56.517903309501214</v>
      </c>
      <c r="O68" s="20">
        <v>-2.441</v>
      </c>
      <c r="P68" s="23">
        <f>23-32</f>
        <v>-9</v>
      </c>
      <c r="Q68" s="8">
        <v>45.92586052777534</v>
      </c>
      <c r="R68" s="20">
        <v>-1.738</v>
      </c>
      <c r="S68" s="23">
        <f>38-15</f>
        <v>23</v>
      </c>
      <c r="T68" s="8">
        <v>47.145090268958306</v>
      </c>
      <c r="U68" s="20">
        <v>0.626</v>
      </c>
      <c r="V68" s="23">
        <f>8-4</f>
        <v>4</v>
      </c>
      <c r="W68" s="10">
        <v>88.34370193461007</v>
      </c>
      <c r="X68" s="23">
        <f>12-8</f>
        <v>4</v>
      </c>
      <c r="Y68" s="10">
        <v>80.09053280302187</v>
      </c>
      <c r="Z68" s="23">
        <f>15-5</f>
        <v>10</v>
      </c>
      <c r="AA68" s="10">
        <v>80.42891719421708</v>
      </c>
      <c r="AB68" s="23">
        <f>2-2</f>
        <v>0</v>
      </c>
      <c r="AC68" s="10">
        <v>95.85990689786702</v>
      </c>
      <c r="AD68" s="23">
        <f>45-9</f>
        <v>36</v>
      </c>
      <c r="AE68" s="10">
        <v>45.36845748760368</v>
      </c>
      <c r="AF68" s="23">
        <f>33-13</f>
        <v>20</v>
      </c>
      <c r="AG68" s="10">
        <v>53.664688303394946</v>
      </c>
      <c r="AH68" s="23">
        <f>38-13</f>
        <v>25</v>
      </c>
      <c r="AI68" s="10">
        <v>49.13210043228442</v>
      </c>
      <c r="AJ68" s="23">
        <f>56-5</f>
        <v>51</v>
      </c>
      <c r="AK68" s="10">
        <v>39.07374622289834</v>
      </c>
      <c r="AL68" s="23">
        <f>37-10</f>
        <v>27</v>
      </c>
      <c r="AM68" s="10">
        <v>53.71362924607348</v>
      </c>
      <c r="AN68" s="23">
        <f>25-13</f>
        <v>12</v>
      </c>
      <c r="AO68" s="10">
        <v>61.926766792699496</v>
      </c>
      <c r="AP68" s="23">
        <f>26-18</f>
        <v>8</v>
      </c>
      <c r="AQ68" s="10">
        <v>56.420053995253426</v>
      </c>
      <c r="AR68" s="23">
        <f>47-5</f>
        <v>42</v>
      </c>
      <c r="AS68" s="10">
        <v>47.78854556061015</v>
      </c>
      <c r="AT68" s="25">
        <v>15.497449702390535</v>
      </c>
      <c r="AU68" s="25">
        <v>78.42049909728576</v>
      </c>
      <c r="AV68" s="25">
        <v>4.959354568238767</v>
      </c>
      <c r="AW68" s="24">
        <f t="shared" si="45"/>
        <v>10.538095134151767</v>
      </c>
      <c r="AX68" s="25">
        <v>1.1226966320849445</v>
      </c>
      <c r="AY68" s="25">
        <v>28.082101674568666</v>
      </c>
      <c r="AZ68" s="25">
        <v>66.22011164304347</v>
      </c>
      <c r="BA68" s="25">
        <v>5.697786682387873</v>
      </c>
      <c r="BB68" s="24">
        <f t="shared" si="46"/>
        <v>22.38431499218079</v>
      </c>
      <c r="BC68" s="12">
        <v>0</v>
      </c>
      <c r="BD68" s="25">
        <v>50.45540193384651</v>
      </c>
      <c r="BE68" s="25">
        <v>48.64129277559556</v>
      </c>
      <c r="BF68" s="25">
        <v>0.9033052905579231</v>
      </c>
      <c r="BG68" s="24">
        <f t="shared" si="47"/>
        <v>49.552096643288586</v>
      </c>
      <c r="BH68" s="25">
        <v>0</v>
      </c>
      <c r="BI68" s="8">
        <v>38.138955427499255</v>
      </c>
      <c r="BJ68" s="8">
        <v>65.29906218250719</v>
      </c>
      <c r="BK68" s="8">
        <v>3.173227643031809</v>
      </c>
      <c r="BL68" s="24">
        <f t="shared" si="48"/>
        <v>34.96572778446745</v>
      </c>
      <c r="BM68" s="8">
        <v>0.3887547469617468</v>
      </c>
      <c r="BN68" s="63">
        <v>30.815810211106964</v>
      </c>
      <c r="BO68" s="8"/>
      <c r="BP68" s="24">
        <f>16-31</f>
        <v>-15</v>
      </c>
      <c r="BQ68" s="8">
        <v>52.29900296828537</v>
      </c>
      <c r="BR68" s="22" t="s">
        <v>1</v>
      </c>
      <c r="BS68" s="22" t="s">
        <v>1</v>
      </c>
      <c r="BT68" s="22" t="s">
        <v>1</v>
      </c>
      <c r="BU68" s="22" t="s">
        <v>1</v>
      </c>
      <c r="BV68" s="24">
        <f>24-16</f>
        <v>8</v>
      </c>
      <c r="BW68" s="8">
        <v>59.87112958971855</v>
      </c>
      <c r="BX68" s="24">
        <f>12-41</f>
        <v>-29</v>
      </c>
      <c r="BY68" s="8">
        <v>47.58782003233361</v>
      </c>
      <c r="BZ68" s="24">
        <f>15-34</f>
        <v>-19</v>
      </c>
      <c r="CA68" s="8">
        <v>51.468699134021165</v>
      </c>
      <c r="CB68" s="20">
        <v>-3.008</v>
      </c>
      <c r="CC68" s="22" t="s">
        <v>1</v>
      </c>
      <c r="CD68" s="22" t="s">
        <v>1</v>
      </c>
      <c r="CE68" s="22" t="s">
        <v>1</v>
      </c>
      <c r="CF68" s="22" t="s">
        <v>1</v>
      </c>
      <c r="CG68" s="22" t="s">
        <v>1</v>
      </c>
      <c r="CH68" s="22" t="s">
        <v>1</v>
      </c>
      <c r="CI68" s="24">
        <f>23-22</f>
        <v>1</v>
      </c>
      <c r="CJ68" s="8">
        <v>54.353316570980816</v>
      </c>
      <c r="CK68" s="21">
        <v>-0.385</v>
      </c>
      <c r="CL68" s="24">
        <f>10-41</f>
        <v>-31</v>
      </c>
      <c r="CM68" s="8">
        <v>49.67396416388923</v>
      </c>
      <c r="CN68" s="21">
        <v>-4.641</v>
      </c>
      <c r="CO68" s="24">
        <f>12-5</f>
        <v>7</v>
      </c>
      <c r="CP68" s="10">
        <v>83.09990864990894</v>
      </c>
      <c r="CQ68" s="22" t="s">
        <v>1</v>
      </c>
      <c r="CR68" s="22" t="s">
        <v>1</v>
      </c>
      <c r="CS68" s="22" t="s">
        <v>1</v>
      </c>
      <c r="CT68" s="22" t="s">
        <v>1</v>
      </c>
      <c r="CU68" s="24">
        <f>2-2</f>
        <v>0</v>
      </c>
      <c r="CV68" s="10">
        <v>95.7363544708776</v>
      </c>
      <c r="CW68" s="8">
        <f>17-7</f>
        <v>10</v>
      </c>
      <c r="CX68" s="8">
        <v>75.23783622308011</v>
      </c>
      <c r="CY68" s="24">
        <f>36-14</f>
        <v>22</v>
      </c>
      <c r="CZ68" s="10">
        <v>50.06588740573734</v>
      </c>
      <c r="DA68" s="22" t="s">
        <v>1</v>
      </c>
      <c r="DB68" s="22" t="s">
        <v>1</v>
      </c>
      <c r="DC68" s="22" t="s">
        <v>1</v>
      </c>
      <c r="DD68" s="22" t="s">
        <v>1</v>
      </c>
      <c r="DE68" s="24">
        <f>55-5</f>
        <v>50</v>
      </c>
      <c r="DF68" s="25">
        <v>40.00279489035321</v>
      </c>
      <c r="DG68" s="24">
        <f>24-20</f>
        <v>4</v>
      </c>
      <c r="DH68" s="8">
        <v>56.3268854201113</v>
      </c>
      <c r="DI68" s="24">
        <f>27-18</f>
        <v>9</v>
      </c>
      <c r="DJ68" s="25">
        <v>55.168860388025905</v>
      </c>
      <c r="DK68" s="22" t="s">
        <v>1</v>
      </c>
      <c r="DL68" s="22" t="s">
        <v>1</v>
      </c>
      <c r="DM68" s="22" t="s">
        <v>1</v>
      </c>
      <c r="DN68" s="22" t="s">
        <v>1</v>
      </c>
      <c r="DO68" s="24">
        <f>47-4</f>
        <v>43</v>
      </c>
      <c r="DP68" s="25">
        <v>48.855139260746434</v>
      </c>
      <c r="DQ68" s="24">
        <f>15-26</f>
        <v>-11</v>
      </c>
      <c r="DR68" s="8">
        <v>59.097095707414596</v>
      </c>
      <c r="DS68" s="22" t="s">
        <v>1</v>
      </c>
      <c r="DT68" s="22" t="s">
        <v>1</v>
      </c>
      <c r="DU68" s="22" t="s">
        <v>1</v>
      </c>
      <c r="DV68" s="22" t="s">
        <v>1</v>
      </c>
      <c r="DW68" s="22" t="s">
        <v>1</v>
      </c>
      <c r="DX68" s="22" t="s">
        <v>1</v>
      </c>
      <c r="DY68" s="22" t="s">
        <v>1</v>
      </c>
      <c r="DZ68" s="22" t="s">
        <v>1</v>
      </c>
      <c r="EA68" s="22" t="s">
        <v>1</v>
      </c>
      <c r="EB68" s="22" t="s">
        <v>1</v>
      </c>
      <c r="EC68" s="25">
        <v>43.80706406744076</v>
      </c>
      <c r="ED68" s="25">
        <v>55.52741334614465</v>
      </c>
      <c r="EE68" s="25">
        <v>0.6655225864145942</v>
      </c>
      <c r="EF68" s="16">
        <f>EC68-EE68</f>
        <v>43.14154148102617</v>
      </c>
      <c r="EG68" s="25">
        <v>0</v>
      </c>
      <c r="EH68" s="8">
        <v>29.906824526282254</v>
      </c>
      <c r="EI68" s="8">
        <v>68.65960410020112</v>
      </c>
      <c r="EJ68" s="8">
        <v>1.0825396150696116</v>
      </c>
      <c r="EK68" s="16">
        <f>EH68-EJ68</f>
        <v>28.824284911212644</v>
      </c>
      <c r="EL68" s="23">
        <v>0.3510317584470121</v>
      </c>
      <c r="EM68" s="25">
        <v>21.258452066874938</v>
      </c>
      <c r="EN68" s="25">
        <v>76.83011630704327</v>
      </c>
      <c r="EO68" s="25">
        <v>1.3419969125532305</v>
      </c>
      <c r="EP68" s="24">
        <f t="shared" si="40"/>
        <v>19.916455154321707</v>
      </c>
      <c r="EQ68" s="13">
        <v>0.5694347135285647</v>
      </c>
      <c r="ER68" s="107" t="s">
        <v>193</v>
      </c>
    </row>
    <row r="69" spans="1:148" ht="12">
      <c r="A69" s="1" t="s">
        <v>33</v>
      </c>
      <c r="B69" s="24">
        <f>39-18</f>
        <v>21</v>
      </c>
      <c r="C69" s="8">
        <v>42.671131305670926</v>
      </c>
      <c r="D69" s="23">
        <f>19-25</f>
        <v>-6</v>
      </c>
      <c r="E69" s="8">
        <v>55.81938708255755</v>
      </c>
      <c r="F69" s="23">
        <f>31-25</f>
        <v>6</v>
      </c>
      <c r="G69" s="8">
        <v>44.649797834995184</v>
      </c>
      <c r="H69" s="23">
        <f>55-11</f>
        <v>44</v>
      </c>
      <c r="I69" s="8">
        <v>33.89364925381073</v>
      </c>
      <c r="J69" s="23">
        <f>33-17</f>
        <v>16</v>
      </c>
      <c r="K69" s="8">
        <v>50.199276289911346</v>
      </c>
      <c r="L69" s="20">
        <v>-0.301</v>
      </c>
      <c r="M69" s="23">
        <f>12-25</f>
        <v>-13</v>
      </c>
      <c r="N69" s="8">
        <v>63.253606821677145</v>
      </c>
      <c r="O69" s="20">
        <v>-2.511</v>
      </c>
      <c r="P69" s="23">
        <f>22-25</f>
        <v>-3</v>
      </c>
      <c r="Q69" s="8">
        <v>52.975882888281824</v>
      </c>
      <c r="R69" s="20">
        <v>-1.282</v>
      </c>
      <c r="S69" s="23">
        <f>49-10</f>
        <v>39</v>
      </c>
      <c r="T69" s="8">
        <v>41.24029720426807</v>
      </c>
      <c r="U69" s="20">
        <v>1.369</v>
      </c>
      <c r="V69" s="23">
        <f>7-5</f>
        <v>2</v>
      </c>
      <c r="W69" s="10">
        <v>88.04882658519634</v>
      </c>
      <c r="X69" s="23">
        <f>11-6</f>
        <v>5</v>
      </c>
      <c r="Y69" s="10">
        <v>82.80590085065451</v>
      </c>
      <c r="Z69" s="23">
        <f>12-5</f>
        <v>7</v>
      </c>
      <c r="AA69" s="10">
        <v>82.84542425684934</v>
      </c>
      <c r="AB69" s="23">
        <f>4-3</f>
        <v>1</v>
      </c>
      <c r="AC69" s="10">
        <v>92.87634336624741</v>
      </c>
      <c r="AD69" s="23">
        <f>22-24</f>
        <v>-2</v>
      </c>
      <c r="AE69" s="10">
        <v>53.4909812396789</v>
      </c>
      <c r="AF69" s="23">
        <f>7-27</f>
        <v>-20</v>
      </c>
      <c r="AG69" s="10">
        <v>66.08936457712832</v>
      </c>
      <c r="AH69" s="23">
        <f>13-22</f>
        <v>-9</v>
      </c>
      <c r="AI69" s="10">
        <v>65.15607062089983</v>
      </c>
      <c r="AJ69" s="23">
        <f>35-23</f>
        <v>12</v>
      </c>
      <c r="AK69" s="10">
        <v>42.14288876423652</v>
      </c>
      <c r="AL69" s="23">
        <f>22-21</f>
        <v>1</v>
      </c>
      <c r="AM69" s="10">
        <v>57.019445630754596</v>
      </c>
      <c r="AN69" s="23">
        <f>4-28</f>
        <v>-24</v>
      </c>
      <c r="AO69" s="10">
        <v>67.9034284108444</v>
      </c>
      <c r="AP69" s="23">
        <f>9-22</f>
        <v>-13</v>
      </c>
      <c r="AQ69" s="10">
        <v>68.91697057744611</v>
      </c>
      <c r="AR69" s="23">
        <f>36-17</f>
        <v>19</v>
      </c>
      <c r="AS69" s="10">
        <v>46.6683700875877</v>
      </c>
      <c r="AT69" s="25">
        <v>12.012068062117196</v>
      </c>
      <c r="AU69" s="25">
        <v>83.30299824103821</v>
      </c>
      <c r="AV69" s="25">
        <v>2.6909049924006636</v>
      </c>
      <c r="AW69" s="24">
        <f t="shared" si="45"/>
        <v>9.321163069716533</v>
      </c>
      <c r="AX69" s="25">
        <v>1.9940287044439249</v>
      </c>
      <c r="AY69" s="25">
        <v>21.058677764371584</v>
      </c>
      <c r="AZ69" s="25">
        <v>74.49172017042571</v>
      </c>
      <c r="BA69" s="25">
        <v>3.958132108213588</v>
      </c>
      <c r="BB69" s="24">
        <f t="shared" si="46"/>
        <v>17.100545656157998</v>
      </c>
      <c r="BC69" s="25">
        <v>0.4914699569891254</v>
      </c>
      <c r="BD69" s="25">
        <v>56.78226306376626</v>
      </c>
      <c r="BE69" s="25">
        <v>41.005259812052344</v>
      </c>
      <c r="BF69" s="25">
        <v>2.2124771241813987</v>
      </c>
      <c r="BG69" s="24">
        <f t="shared" si="47"/>
        <v>54.56978593958486</v>
      </c>
      <c r="BH69" s="25">
        <v>0</v>
      </c>
      <c r="BI69" s="8">
        <v>39.27726733619943</v>
      </c>
      <c r="BJ69" s="8">
        <v>64.12493417533216</v>
      </c>
      <c r="BK69" s="8">
        <v>2.8250964135245087</v>
      </c>
      <c r="BL69" s="24">
        <f t="shared" si="48"/>
        <v>36.452170922674924</v>
      </c>
      <c r="BM69" s="8">
        <v>0.7727020749439004</v>
      </c>
      <c r="BN69" s="63">
        <v>26.823856331135165</v>
      </c>
      <c r="BO69" s="8"/>
      <c r="BP69" s="24">
        <f>23-21</f>
        <v>2</v>
      </c>
      <c r="BQ69" s="8">
        <v>55.708132387605644</v>
      </c>
      <c r="BR69" s="22" t="s">
        <v>1</v>
      </c>
      <c r="BS69" s="22" t="s">
        <v>1</v>
      </c>
      <c r="BT69" s="22" t="s">
        <v>1</v>
      </c>
      <c r="BU69" s="22" t="s">
        <v>1</v>
      </c>
      <c r="BV69" s="24">
        <f>37-9</f>
        <v>28</v>
      </c>
      <c r="BW69" s="8">
        <v>54.704081812074214</v>
      </c>
      <c r="BX69" s="24">
        <f>15-29</f>
        <v>-14</v>
      </c>
      <c r="BY69" s="8">
        <v>56.332826898773355</v>
      </c>
      <c r="BZ69" s="24">
        <f>17-27</f>
        <v>-10</v>
      </c>
      <c r="CA69" s="8">
        <v>56.61715418338632</v>
      </c>
      <c r="CB69" s="20">
        <v>-1.925</v>
      </c>
      <c r="CC69" s="22" t="s">
        <v>1</v>
      </c>
      <c r="CD69" s="22" t="s">
        <v>1</v>
      </c>
      <c r="CE69" s="22" t="s">
        <v>1</v>
      </c>
      <c r="CF69" s="22" t="s">
        <v>1</v>
      </c>
      <c r="CG69" s="22" t="s">
        <v>1</v>
      </c>
      <c r="CH69" s="22" t="s">
        <v>1</v>
      </c>
      <c r="CI69" s="24">
        <f>33-14</f>
        <v>19</v>
      </c>
      <c r="CJ69" s="8">
        <v>53.07151762945866</v>
      </c>
      <c r="CK69" s="21">
        <v>0.812</v>
      </c>
      <c r="CL69" s="24">
        <f>7-35</f>
        <v>-28</v>
      </c>
      <c r="CM69" s="8">
        <v>58.823158290960144</v>
      </c>
      <c r="CN69" s="21">
        <v>-3.629</v>
      </c>
      <c r="CO69" s="24">
        <f>13-3</f>
        <v>10</v>
      </c>
      <c r="CP69" s="10">
        <v>83.66967672751856</v>
      </c>
      <c r="CQ69" s="22" t="s">
        <v>1</v>
      </c>
      <c r="CR69" s="22" t="s">
        <v>1</v>
      </c>
      <c r="CS69" s="22" t="s">
        <v>1</v>
      </c>
      <c r="CT69" s="22" t="s">
        <v>1</v>
      </c>
      <c r="CU69" s="24">
        <f>3-2</f>
        <v>1</v>
      </c>
      <c r="CV69" s="10">
        <v>95.32795935012011</v>
      </c>
      <c r="CW69" s="8">
        <f>20-4</f>
        <v>16</v>
      </c>
      <c r="CX69" s="8">
        <v>76.41619234987516</v>
      </c>
      <c r="CY69" s="24">
        <f>18-23</f>
        <v>-5</v>
      </c>
      <c r="CZ69" s="10">
        <v>58.80214517173833</v>
      </c>
      <c r="DA69" s="22" t="s">
        <v>1</v>
      </c>
      <c r="DB69" s="22" t="s">
        <v>1</v>
      </c>
      <c r="DC69" s="22" t="s">
        <v>1</v>
      </c>
      <c r="DD69" s="22" t="s">
        <v>1</v>
      </c>
      <c r="DE69" s="24">
        <f>35-17</f>
        <v>18</v>
      </c>
      <c r="DF69" s="25">
        <v>48.10714355437923</v>
      </c>
      <c r="DG69" s="24">
        <f>8-27</f>
        <v>-19</v>
      </c>
      <c r="DH69" s="8">
        <v>65.45630081898528</v>
      </c>
      <c r="DI69" s="24">
        <f>15-22</f>
        <v>-7</v>
      </c>
      <c r="DJ69" s="25">
        <v>62.358662929350196</v>
      </c>
      <c r="DK69" s="22" t="s">
        <v>1</v>
      </c>
      <c r="DL69" s="22" t="s">
        <v>1</v>
      </c>
      <c r="DM69" s="22" t="s">
        <v>1</v>
      </c>
      <c r="DN69" s="22" t="s">
        <v>1</v>
      </c>
      <c r="DO69" s="24">
        <f>32-13</f>
        <v>19</v>
      </c>
      <c r="DP69" s="25">
        <v>54.16487688617859</v>
      </c>
      <c r="DQ69" s="24">
        <f>5-28</f>
        <v>-23</v>
      </c>
      <c r="DR69" s="8">
        <v>67.45662641006697</v>
      </c>
      <c r="DS69" s="22" t="s">
        <v>1</v>
      </c>
      <c r="DT69" s="22" t="s">
        <v>1</v>
      </c>
      <c r="DU69" s="22" t="s">
        <v>1</v>
      </c>
      <c r="DV69" s="22" t="s">
        <v>1</v>
      </c>
      <c r="DW69" s="22" t="s">
        <v>1</v>
      </c>
      <c r="DX69" s="22" t="s">
        <v>1</v>
      </c>
      <c r="DY69" s="22" t="s">
        <v>1</v>
      </c>
      <c r="DZ69" s="22" t="s">
        <v>1</v>
      </c>
      <c r="EA69" s="22" t="s">
        <v>1</v>
      </c>
      <c r="EB69" s="22" t="s">
        <v>1</v>
      </c>
      <c r="EC69" s="25">
        <v>55.21078004879736</v>
      </c>
      <c r="ED69" s="25">
        <v>40.485312990751666</v>
      </c>
      <c r="EE69" s="25">
        <v>3.902722494307337</v>
      </c>
      <c r="EF69" s="16">
        <f>EC69-EE69</f>
        <v>51.30805755449002</v>
      </c>
      <c r="EG69" s="25">
        <v>0.4011844661436432</v>
      </c>
      <c r="EH69" s="8">
        <v>27.974196969036257</v>
      </c>
      <c r="EI69" s="8">
        <v>67.14751029054052</v>
      </c>
      <c r="EJ69" s="8">
        <v>3.5953635239477895</v>
      </c>
      <c r="EK69" s="16">
        <f>EH69-EJ69</f>
        <v>24.378833445088468</v>
      </c>
      <c r="EL69" s="23">
        <v>1.2829292164754318</v>
      </c>
      <c r="EM69" s="25">
        <v>11.028293677377347</v>
      </c>
      <c r="EN69" s="25">
        <v>83.73604548462971</v>
      </c>
      <c r="EO69" s="25">
        <v>3.4041326572754183</v>
      </c>
      <c r="EP69" s="24">
        <f t="shared" si="40"/>
        <v>7.624161020101928</v>
      </c>
      <c r="EQ69" s="13">
        <v>1.8315281807175159</v>
      </c>
      <c r="ER69" s="64">
        <v>26.911646148238216</v>
      </c>
    </row>
    <row r="70" spans="1:148" ht="12">
      <c r="A70" s="1" t="s">
        <v>66</v>
      </c>
      <c r="B70" s="24">
        <f aca="true" t="shared" si="49" ref="B70:AV70">AVERAGE(B66:B69)</f>
        <v>2</v>
      </c>
      <c r="C70" s="13">
        <f t="shared" si="49"/>
        <v>47.186496731308424</v>
      </c>
      <c r="D70" s="24">
        <f t="shared" si="49"/>
        <v>-16.5</v>
      </c>
      <c r="E70" s="13">
        <f t="shared" si="49"/>
        <v>52.502517976711104</v>
      </c>
      <c r="F70" s="24">
        <f t="shared" si="49"/>
        <v>-12</v>
      </c>
      <c r="G70" s="13">
        <f t="shared" si="49"/>
        <v>48.53060845423662</v>
      </c>
      <c r="H70" s="24">
        <f t="shared" si="49"/>
        <v>18.5</v>
      </c>
      <c r="I70" s="13">
        <f t="shared" si="49"/>
        <v>43.47926368324002</v>
      </c>
      <c r="J70" s="24">
        <f t="shared" si="49"/>
        <v>6.25</v>
      </c>
      <c r="K70" s="13">
        <f t="shared" si="49"/>
        <v>45.7968590433731</v>
      </c>
      <c r="L70" s="21">
        <f t="shared" si="49"/>
        <v>-0.72075</v>
      </c>
      <c r="M70" s="24">
        <f t="shared" si="49"/>
        <v>-20.5</v>
      </c>
      <c r="N70" s="13">
        <f t="shared" si="49"/>
        <v>52.967919193022325</v>
      </c>
      <c r="O70" s="21">
        <f t="shared" si="49"/>
        <v>-2.94775</v>
      </c>
      <c r="P70" s="24">
        <f t="shared" si="49"/>
        <v>-9.25</v>
      </c>
      <c r="Q70" s="13">
        <f t="shared" si="49"/>
        <v>47.82500190975185</v>
      </c>
      <c r="R70" s="21">
        <f t="shared" si="49"/>
        <v>-1.7759999999999998</v>
      </c>
      <c r="S70" s="24">
        <f t="shared" si="49"/>
        <v>28.25</v>
      </c>
      <c r="T70" s="13">
        <f t="shared" si="49"/>
        <v>40.71093706807642</v>
      </c>
      <c r="U70" s="21">
        <f t="shared" si="49"/>
        <v>0.9957499999999999</v>
      </c>
      <c r="V70" s="24">
        <f t="shared" si="49"/>
        <v>4</v>
      </c>
      <c r="W70" s="13">
        <f t="shared" si="49"/>
        <v>88.56655554987674</v>
      </c>
      <c r="X70" s="24">
        <f t="shared" si="49"/>
        <v>7</v>
      </c>
      <c r="Y70" s="13">
        <f t="shared" si="49"/>
        <v>80.9218424075908</v>
      </c>
      <c r="Z70" s="24">
        <f t="shared" si="49"/>
        <v>8.25</v>
      </c>
      <c r="AA70" s="13">
        <f t="shared" si="49"/>
        <v>82.72521615564928</v>
      </c>
      <c r="AB70" s="24">
        <f t="shared" si="49"/>
        <v>1</v>
      </c>
      <c r="AC70" s="13">
        <f t="shared" si="49"/>
        <v>95.12304069860936</v>
      </c>
      <c r="AD70" s="24">
        <f t="shared" si="49"/>
        <v>20.75</v>
      </c>
      <c r="AE70" s="13">
        <f t="shared" si="49"/>
        <v>50.47650145623449</v>
      </c>
      <c r="AF70" s="24">
        <f t="shared" si="49"/>
        <v>2</v>
      </c>
      <c r="AG70" s="13">
        <f t="shared" si="49"/>
        <v>57.912181569606204</v>
      </c>
      <c r="AH70" s="24">
        <f t="shared" si="49"/>
        <v>11.75</v>
      </c>
      <c r="AI70" s="13">
        <f t="shared" si="49"/>
        <v>54.78967020700942</v>
      </c>
      <c r="AJ70" s="24">
        <f t="shared" si="49"/>
        <v>35.25</v>
      </c>
      <c r="AK70" s="13">
        <f t="shared" si="49"/>
        <v>44.5218801404637</v>
      </c>
      <c r="AL70" s="24">
        <f t="shared" si="49"/>
        <v>17.5</v>
      </c>
      <c r="AM70" s="13">
        <f t="shared" si="49"/>
        <v>54.99664768539934</v>
      </c>
      <c r="AN70" s="24">
        <f t="shared" si="49"/>
        <v>-2.75</v>
      </c>
      <c r="AO70" s="13">
        <f t="shared" si="49"/>
        <v>61.54712346515882</v>
      </c>
      <c r="AP70" s="24">
        <f t="shared" si="49"/>
        <v>2.5</v>
      </c>
      <c r="AQ70" s="13">
        <f t="shared" si="49"/>
        <v>59.213734188983985</v>
      </c>
      <c r="AR70" s="24">
        <f t="shared" si="49"/>
        <v>34.25</v>
      </c>
      <c r="AS70" s="13">
        <f t="shared" si="49"/>
        <v>49.629641269682466</v>
      </c>
      <c r="AT70" s="13">
        <f t="shared" si="49"/>
        <v>18.155734435830087</v>
      </c>
      <c r="AU70" s="13">
        <f t="shared" si="49"/>
        <v>77.22251834070485</v>
      </c>
      <c r="AV70" s="13">
        <f t="shared" si="49"/>
        <v>3.596750736663605</v>
      </c>
      <c r="AW70" s="24">
        <f t="shared" si="45"/>
        <v>14.558983699166482</v>
      </c>
      <c r="AX70" s="13">
        <f>AVERAGE(AX66:AX69)</f>
        <v>1.0249964868014632</v>
      </c>
      <c r="AY70" s="13">
        <f>AVERAGE(AY66:AY69)</f>
        <v>27.178651332806062</v>
      </c>
      <c r="AZ70" s="13">
        <f>AVERAGE(AZ66:AZ69)</f>
        <v>68.71883501666306</v>
      </c>
      <c r="BA70" s="13">
        <f>AVERAGE(BA66:BA69)</f>
        <v>3.817032571797955</v>
      </c>
      <c r="BB70" s="24">
        <f t="shared" si="46"/>
        <v>23.361618761008106</v>
      </c>
      <c r="BC70" s="13">
        <f>AVERAGE(BC66:BC69)</f>
        <v>0.28548107873292194</v>
      </c>
      <c r="BD70" s="13">
        <f>AVERAGE(BD66:BD69)</f>
        <v>54.53691455279001</v>
      </c>
      <c r="BE70" s="13">
        <f>AVERAGE(BE66:BE69)</f>
        <v>44.60818793058183</v>
      </c>
      <c r="BF70" s="13">
        <f>AVERAGE(BF66:BF69)</f>
        <v>0.8322788494288795</v>
      </c>
      <c r="BG70" s="24">
        <f t="shared" si="47"/>
        <v>53.70463570336113</v>
      </c>
      <c r="BH70" s="13">
        <f>AVERAGE(BH66:BH69)</f>
        <v>0.02261866719927424</v>
      </c>
      <c r="BI70" s="13">
        <f>AVERAGE(BI66:BI69)</f>
        <v>41.129186763399055</v>
      </c>
      <c r="BJ70" s="13">
        <f>AVERAGE(BJ66:BJ69)</f>
        <v>63.10294581056677</v>
      </c>
      <c r="BK70" s="13">
        <f>AVERAGE(BK66:BK69)</f>
        <v>2.3517148217734882</v>
      </c>
      <c r="BL70" s="24">
        <f t="shared" si="48"/>
        <v>38.77747194162556</v>
      </c>
      <c r="BM70" s="13">
        <f>AVERAGE(BM66:BM69)</f>
        <v>0.4161526042606832</v>
      </c>
      <c r="BN70" s="14">
        <f>AVERAGE(BN66:BN69)</f>
        <v>30.42957571233047</v>
      </c>
      <c r="BO70" s="13"/>
      <c r="BP70" s="24">
        <f aca="true" t="shared" si="50" ref="BP70:CU70">AVERAGE(BP66:BP69)</f>
        <v>-15.25</v>
      </c>
      <c r="BQ70" s="13">
        <f t="shared" si="50"/>
        <v>52.007811482550615</v>
      </c>
      <c r="BR70" s="22" t="s">
        <v>1</v>
      </c>
      <c r="BS70" s="22" t="s">
        <v>1</v>
      </c>
      <c r="BT70" s="22" t="s">
        <v>1</v>
      </c>
      <c r="BU70" s="22" t="s">
        <v>1</v>
      </c>
      <c r="BV70" s="24">
        <f t="shared" si="50"/>
        <v>6</v>
      </c>
      <c r="BW70" s="13">
        <f t="shared" si="50"/>
        <v>54.27982708424884</v>
      </c>
      <c r="BX70" s="24">
        <f t="shared" si="50"/>
        <v>-28.75</v>
      </c>
      <c r="BY70" s="13">
        <f t="shared" si="50"/>
        <v>50.59414976648786</v>
      </c>
      <c r="BZ70" s="24">
        <f t="shared" si="50"/>
        <v>-16.25</v>
      </c>
      <c r="CA70" s="13">
        <f t="shared" si="50"/>
        <v>50.69976858467365</v>
      </c>
      <c r="CB70" s="21">
        <f t="shared" si="50"/>
        <v>-2.6385000000000005</v>
      </c>
      <c r="CC70" s="22" t="s">
        <v>1</v>
      </c>
      <c r="CD70" s="22" t="s">
        <v>1</v>
      </c>
      <c r="CE70" s="22" t="s">
        <v>1</v>
      </c>
      <c r="CF70" s="22" t="s">
        <v>1</v>
      </c>
      <c r="CG70" s="22" t="s">
        <v>1</v>
      </c>
      <c r="CH70" s="22" t="s">
        <v>1</v>
      </c>
      <c r="CI70" s="24">
        <f t="shared" si="50"/>
        <v>7.5</v>
      </c>
      <c r="CJ70" s="13">
        <f t="shared" si="50"/>
        <v>47.4611234294642</v>
      </c>
      <c r="CK70" s="21">
        <f t="shared" si="50"/>
        <v>0.057750000000000024</v>
      </c>
      <c r="CL70" s="24">
        <f t="shared" si="50"/>
        <v>-30.75</v>
      </c>
      <c r="CM70" s="21">
        <f t="shared" si="50"/>
        <v>52.715121242497595</v>
      </c>
      <c r="CN70" s="21">
        <f t="shared" si="50"/>
        <v>-4.31675</v>
      </c>
      <c r="CO70" s="24">
        <f t="shared" si="50"/>
        <v>8.25</v>
      </c>
      <c r="CP70" s="13">
        <f t="shared" si="50"/>
        <v>83.36650756846255</v>
      </c>
      <c r="CQ70" s="22" t="s">
        <v>1</v>
      </c>
      <c r="CR70" s="22" t="s">
        <v>1</v>
      </c>
      <c r="CS70" s="22" t="s">
        <v>1</v>
      </c>
      <c r="CT70" s="22" t="s">
        <v>1</v>
      </c>
      <c r="CU70" s="24">
        <f t="shared" si="50"/>
        <v>0.25</v>
      </c>
      <c r="CV70" s="13">
        <f aca="true" t="shared" si="51" ref="CV70:DR70">AVERAGE(CV66:CV69)</f>
        <v>95.26217274247523</v>
      </c>
      <c r="CW70" s="13">
        <f t="shared" si="51"/>
        <v>13</v>
      </c>
      <c r="CX70" s="13">
        <f t="shared" si="51"/>
        <v>75.96466547499757</v>
      </c>
      <c r="CY70" s="24">
        <f t="shared" si="51"/>
        <v>11.25</v>
      </c>
      <c r="CZ70" s="13">
        <f t="shared" si="51"/>
        <v>54.81565379764167</v>
      </c>
      <c r="DA70" s="22" t="s">
        <v>1</v>
      </c>
      <c r="DB70" s="22" t="s">
        <v>1</v>
      </c>
      <c r="DC70" s="22" t="s">
        <v>1</v>
      </c>
      <c r="DD70" s="22" t="s">
        <v>1</v>
      </c>
      <c r="DE70" s="24">
        <f t="shared" si="51"/>
        <v>36.25</v>
      </c>
      <c r="DF70" s="13">
        <f t="shared" si="51"/>
        <v>45.4509951439126</v>
      </c>
      <c r="DG70" s="24">
        <f t="shared" si="51"/>
        <v>-4.25</v>
      </c>
      <c r="DH70" s="13">
        <f t="shared" si="51"/>
        <v>60.64258063030382</v>
      </c>
      <c r="DI70" s="24">
        <f t="shared" si="51"/>
        <v>3</v>
      </c>
      <c r="DJ70" s="13">
        <f t="shared" si="51"/>
        <v>59.053351226510834</v>
      </c>
      <c r="DK70" s="22" t="s">
        <v>1</v>
      </c>
      <c r="DL70" s="22" t="s">
        <v>1</v>
      </c>
      <c r="DM70" s="22" t="s">
        <v>1</v>
      </c>
      <c r="DN70" s="22" t="s">
        <v>1</v>
      </c>
      <c r="DO70" s="24">
        <f t="shared" si="51"/>
        <v>34</v>
      </c>
      <c r="DP70" s="13">
        <f t="shared" si="51"/>
        <v>52.13466773520895</v>
      </c>
      <c r="DQ70" s="13">
        <f t="shared" si="51"/>
        <v>-15.75</v>
      </c>
      <c r="DR70" s="13">
        <f t="shared" si="51"/>
        <v>63.358354257775716</v>
      </c>
      <c r="DS70" s="22" t="s">
        <v>1</v>
      </c>
      <c r="DT70" s="22" t="s">
        <v>1</v>
      </c>
      <c r="DU70" s="22" t="s">
        <v>1</v>
      </c>
      <c r="DV70" s="22" t="s">
        <v>1</v>
      </c>
      <c r="DW70" s="22" t="s">
        <v>1</v>
      </c>
      <c r="DX70" s="22" t="s">
        <v>1</v>
      </c>
      <c r="DY70" s="22" t="s">
        <v>1</v>
      </c>
      <c r="DZ70" s="22" t="s">
        <v>1</v>
      </c>
      <c r="EA70" s="22" t="s">
        <v>1</v>
      </c>
      <c r="EB70" s="22" t="s">
        <v>1</v>
      </c>
      <c r="EC70" s="13">
        <f aca="true" t="shared" si="52" ref="EC70:EO70">AVERAGE(EC66:EC69)</f>
        <v>51.50051348101789</v>
      </c>
      <c r="ED70" s="13">
        <f t="shared" si="52"/>
        <v>46.47082141409439</v>
      </c>
      <c r="EE70" s="13">
        <f t="shared" si="52"/>
        <v>1.900991296125558</v>
      </c>
      <c r="EF70" s="13">
        <f t="shared" si="52"/>
        <v>49.599522184892336</v>
      </c>
      <c r="EG70" s="13">
        <f t="shared" si="52"/>
        <v>0.1276738087621664</v>
      </c>
      <c r="EH70" s="13">
        <f t="shared" si="52"/>
        <v>30.379548483223083</v>
      </c>
      <c r="EI70" s="13">
        <f t="shared" si="52"/>
        <v>65.25204550951176</v>
      </c>
      <c r="EJ70" s="13">
        <f t="shared" si="52"/>
        <v>3.597853104546964</v>
      </c>
      <c r="EK70" s="13">
        <f t="shared" si="52"/>
        <v>26.78169537867612</v>
      </c>
      <c r="EL70" s="13">
        <f t="shared" si="52"/>
        <v>0.7705529027181972</v>
      </c>
      <c r="EM70" s="13">
        <f t="shared" si="52"/>
        <v>17.237389229552686</v>
      </c>
      <c r="EN70" s="13">
        <f t="shared" si="52"/>
        <v>76.93824929141259</v>
      </c>
      <c r="EO70" s="13">
        <f t="shared" si="52"/>
        <v>4.653787502908318</v>
      </c>
      <c r="EP70" s="24">
        <f t="shared" si="40"/>
        <v>12.583601726644368</v>
      </c>
      <c r="EQ70" s="13">
        <f>AVERAGE(EQ66:EQ69)</f>
        <v>1.1705739761264031</v>
      </c>
      <c r="ER70" s="64">
        <f>AVERAGE(ER66:ER69)</f>
        <v>26.911646148238216</v>
      </c>
    </row>
    <row r="71" spans="1:148" ht="12">
      <c r="A71" s="1" t="s">
        <v>104</v>
      </c>
      <c r="B71" s="24">
        <f>14-34</f>
        <v>-20</v>
      </c>
      <c r="C71" s="8">
        <v>52.09488373943619</v>
      </c>
      <c r="D71" s="23">
        <f>6-26</f>
        <v>-20</v>
      </c>
      <c r="E71" s="8">
        <v>67.49318382137251</v>
      </c>
      <c r="F71" s="23">
        <f>13-27</f>
        <v>-14</v>
      </c>
      <c r="G71" s="8">
        <v>60.141497683335196</v>
      </c>
      <c r="H71" s="23">
        <f>19-40</f>
        <v>-21</v>
      </c>
      <c r="I71" s="8">
        <v>41.267398023420895</v>
      </c>
      <c r="J71" s="23">
        <f>28-18</f>
        <v>10</v>
      </c>
      <c r="K71" s="8">
        <v>54.092915868866285</v>
      </c>
      <c r="L71" s="20">
        <v>-0.248</v>
      </c>
      <c r="M71" s="23">
        <f>9-22</f>
        <v>-13</v>
      </c>
      <c r="N71" s="8">
        <v>69.33409561044556</v>
      </c>
      <c r="O71" s="20">
        <v>-2.136</v>
      </c>
      <c r="P71" s="23">
        <f>16-20</f>
        <v>-4</v>
      </c>
      <c r="Q71" s="8">
        <v>63.80302344788474</v>
      </c>
      <c r="R71" s="20">
        <v>-0.952</v>
      </c>
      <c r="S71" s="23">
        <f>42-15</f>
        <v>27</v>
      </c>
      <c r="T71" s="8">
        <v>42.868115173352265</v>
      </c>
      <c r="U71" s="20">
        <v>0.996</v>
      </c>
      <c r="V71" s="23">
        <f>5-2</f>
        <v>3</v>
      </c>
      <c r="W71" s="10">
        <v>92.12140984975122</v>
      </c>
      <c r="X71" s="23">
        <f>10-5</f>
        <v>5</v>
      </c>
      <c r="Y71" s="10">
        <v>85.00357393168242</v>
      </c>
      <c r="Z71" s="23">
        <f>7-5</f>
        <v>2</v>
      </c>
      <c r="AA71" s="10">
        <v>87.91683098600794</v>
      </c>
      <c r="AB71" s="23">
        <f>2-0</f>
        <v>2</v>
      </c>
      <c r="AC71" s="10">
        <v>97.267495508795</v>
      </c>
      <c r="AD71" s="23">
        <f>34-9</f>
        <v>25</v>
      </c>
      <c r="AE71" s="10">
        <v>57.7184476432132</v>
      </c>
      <c r="AF71" s="23">
        <f>19-12</f>
        <v>7</v>
      </c>
      <c r="AG71" s="10">
        <v>68.99913168020574</v>
      </c>
      <c r="AH71" s="23">
        <f>23-10</f>
        <v>13</v>
      </c>
      <c r="AI71" s="10">
        <v>67.25746715943724</v>
      </c>
      <c r="AJ71" s="23">
        <f>45-6</f>
        <v>39</v>
      </c>
      <c r="AK71" s="10">
        <v>48.72623032161061</v>
      </c>
      <c r="AL71" s="23">
        <f>31-9</f>
        <v>22</v>
      </c>
      <c r="AM71" s="10">
        <v>60.56548306501175</v>
      </c>
      <c r="AN71" s="23">
        <f>14-12</f>
        <v>2</v>
      </c>
      <c r="AO71" s="10">
        <v>74.8360537832585</v>
      </c>
      <c r="AP71" s="23">
        <f>22-10</f>
        <v>12</v>
      </c>
      <c r="AQ71" s="10">
        <v>68.79838647829423</v>
      </c>
      <c r="AR71" s="23">
        <f>43-7</f>
        <v>36</v>
      </c>
      <c r="AS71" s="10">
        <v>50.30534983499471</v>
      </c>
      <c r="AT71" s="25">
        <v>17.961555516694993</v>
      </c>
      <c r="AU71" s="25">
        <v>78.15310067140003</v>
      </c>
      <c r="AV71" s="25">
        <v>3.5346373371069104</v>
      </c>
      <c r="AW71" s="24">
        <f t="shared" si="45"/>
        <v>14.426918179588082</v>
      </c>
      <c r="AX71" s="25">
        <v>0.35070647479807204</v>
      </c>
      <c r="AY71" s="25">
        <v>16.557739978908817</v>
      </c>
      <c r="AZ71" s="25">
        <v>81.42322510157194</v>
      </c>
      <c r="BA71" s="25">
        <v>2.0190349195192407</v>
      </c>
      <c r="BB71" s="24">
        <f t="shared" si="46"/>
        <v>14.538705059389576</v>
      </c>
      <c r="BC71" s="12">
        <v>0</v>
      </c>
      <c r="BD71" s="25">
        <v>50.11703603493505</v>
      </c>
      <c r="BE71" s="25">
        <v>49.51306763390318</v>
      </c>
      <c r="BF71" s="25">
        <v>0.21672568883404705</v>
      </c>
      <c r="BG71" s="24">
        <f t="shared" si="47"/>
        <v>49.900310346101</v>
      </c>
      <c r="BH71" s="25">
        <v>0.1531706423277338</v>
      </c>
      <c r="BI71" s="8">
        <v>35.19624386702483</v>
      </c>
      <c r="BJ71" s="8">
        <v>63.12159031081921</v>
      </c>
      <c r="BK71" s="8">
        <v>1.4940808908347174</v>
      </c>
      <c r="BL71" s="24">
        <f t="shared" si="48"/>
        <v>33.70216297619012</v>
      </c>
      <c r="BM71" s="8">
        <v>0.18808493132123874</v>
      </c>
      <c r="BN71" s="63">
        <v>26.83754160571562</v>
      </c>
      <c r="BO71" s="8"/>
      <c r="BP71" s="24">
        <f>8-38</f>
        <v>-30</v>
      </c>
      <c r="BQ71" s="8">
        <v>54.306733973535614</v>
      </c>
      <c r="BR71" s="22" t="s">
        <v>1</v>
      </c>
      <c r="BS71" s="22" t="s">
        <v>1</v>
      </c>
      <c r="BT71" s="22" t="s">
        <v>1</v>
      </c>
      <c r="BU71" s="22" t="s">
        <v>1</v>
      </c>
      <c r="BV71" s="24">
        <f>11-38</f>
        <v>-27</v>
      </c>
      <c r="BW71" s="8">
        <v>50.92918362869572</v>
      </c>
      <c r="BX71" s="24">
        <f>6-37</f>
        <v>-31</v>
      </c>
      <c r="BY71" s="8">
        <v>56.63853214364152</v>
      </c>
      <c r="BZ71" s="24">
        <f>14-30</f>
        <v>-16</v>
      </c>
      <c r="CA71" s="8">
        <v>56.07240357638854</v>
      </c>
      <c r="CB71" s="20">
        <v>-1.883</v>
      </c>
      <c r="CC71" s="22" t="s">
        <v>1</v>
      </c>
      <c r="CD71" s="22" t="s">
        <v>1</v>
      </c>
      <c r="CE71" s="22" t="s">
        <v>1</v>
      </c>
      <c r="CF71" s="22" t="s">
        <v>1</v>
      </c>
      <c r="CG71" s="22" t="s">
        <v>1</v>
      </c>
      <c r="CH71" s="22" t="s">
        <v>1</v>
      </c>
      <c r="CI71" s="24">
        <f>25-26</f>
        <v>-1</v>
      </c>
      <c r="CJ71" s="8">
        <v>48.982439993725166</v>
      </c>
      <c r="CK71" s="21">
        <v>-0.5</v>
      </c>
      <c r="CL71" s="24">
        <f>6-33</f>
        <v>-27</v>
      </c>
      <c r="CM71" s="8">
        <v>60.96718305271212</v>
      </c>
      <c r="CN71" s="21">
        <v>-2.837</v>
      </c>
      <c r="CO71" s="24">
        <f>7-3</f>
        <v>4</v>
      </c>
      <c r="CP71" s="10">
        <v>89.65104581526927</v>
      </c>
      <c r="CQ71" s="22" t="s">
        <v>1</v>
      </c>
      <c r="CR71" s="22" t="s">
        <v>1</v>
      </c>
      <c r="CS71" s="22" t="s">
        <v>1</v>
      </c>
      <c r="CT71" s="22" t="s">
        <v>1</v>
      </c>
      <c r="CU71" s="24">
        <f>3-1</f>
        <v>2</v>
      </c>
      <c r="CV71" s="10">
        <v>95.79054299515806</v>
      </c>
      <c r="CW71" s="8">
        <f>10-5</f>
        <v>5</v>
      </c>
      <c r="CX71" s="8">
        <v>85.41245073072622</v>
      </c>
      <c r="CY71" s="24">
        <f>36-9</f>
        <v>27</v>
      </c>
      <c r="CZ71" s="10">
        <v>55.46455654825571</v>
      </c>
      <c r="DA71" s="22" t="s">
        <v>1</v>
      </c>
      <c r="DB71" s="22" t="s">
        <v>1</v>
      </c>
      <c r="DC71" s="22" t="s">
        <v>1</v>
      </c>
      <c r="DD71" s="22" t="s">
        <v>1</v>
      </c>
      <c r="DE71" s="24">
        <f>52-2</f>
        <v>50</v>
      </c>
      <c r="DF71" s="25">
        <v>46.90875802147929</v>
      </c>
      <c r="DG71" s="24">
        <f>25-14</f>
        <v>11</v>
      </c>
      <c r="DH71" s="8">
        <v>61.371321307221216</v>
      </c>
      <c r="DI71" s="24">
        <f>29-11</f>
        <v>18</v>
      </c>
      <c r="DJ71" s="25">
        <v>60.54305567592675</v>
      </c>
      <c r="DK71" s="22" t="s">
        <v>1</v>
      </c>
      <c r="DL71" s="22" t="s">
        <v>1</v>
      </c>
      <c r="DM71" s="22" t="s">
        <v>1</v>
      </c>
      <c r="DN71" s="22" t="s">
        <v>1</v>
      </c>
      <c r="DO71" s="24">
        <f>42-4</f>
        <v>38</v>
      </c>
      <c r="DP71" s="25">
        <v>53.66944825598754</v>
      </c>
      <c r="DQ71" s="24">
        <f>20-15</f>
        <v>5</v>
      </c>
      <c r="DR71" s="8">
        <v>65.28846686671106</v>
      </c>
      <c r="DS71" s="22" t="s">
        <v>1</v>
      </c>
      <c r="DT71" s="22" t="s">
        <v>1</v>
      </c>
      <c r="DU71" s="22" t="s">
        <v>1</v>
      </c>
      <c r="DV71" s="22" t="s">
        <v>1</v>
      </c>
      <c r="DW71" s="22" t="s">
        <v>1</v>
      </c>
      <c r="DX71" s="22" t="s">
        <v>1</v>
      </c>
      <c r="DY71" s="22" t="s">
        <v>1</v>
      </c>
      <c r="DZ71" s="22" t="s">
        <v>1</v>
      </c>
      <c r="EA71" s="22" t="s">
        <v>1</v>
      </c>
      <c r="EB71" s="22" t="s">
        <v>1</v>
      </c>
      <c r="EC71" s="25">
        <v>43.92759531506125</v>
      </c>
      <c r="ED71" s="25">
        <v>55.79129915285971</v>
      </c>
      <c r="EE71" s="25">
        <v>0.28110553207904854</v>
      </c>
      <c r="EF71" s="16">
        <f>EC71-EE71</f>
        <v>43.6464897829822</v>
      </c>
      <c r="EG71" s="25">
        <v>0</v>
      </c>
      <c r="EH71" s="8">
        <v>26.290025158579823</v>
      </c>
      <c r="EI71" s="8">
        <v>72.3211184743334</v>
      </c>
      <c r="EJ71" s="8">
        <v>0.942177719889999</v>
      </c>
      <c r="EK71" s="16">
        <f>EH71-EJ71</f>
        <v>25.347847438689826</v>
      </c>
      <c r="EL71" s="23">
        <v>0.446678647196773</v>
      </c>
      <c r="EM71" s="25">
        <v>14.113373556974306</v>
      </c>
      <c r="EN71" s="25">
        <v>83.73299942671659</v>
      </c>
      <c r="EO71" s="25">
        <v>1.3985697083027</v>
      </c>
      <c r="EP71" s="24">
        <f aca="true" t="shared" si="53" ref="EP71:EP80">EM71-EO71</f>
        <v>12.714803848671606</v>
      </c>
      <c r="EQ71" s="13">
        <v>0.7550573080063991</v>
      </c>
      <c r="ER71" s="64">
        <v>30.724410331110985</v>
      </c>
    </row>
    <row r="72" spans="1:148" ht="12">
      <c r="A72" s="1" t="s">
        <v>36</v>
      </c>
      <c r="B72" s="24">
        <f>22-20</f>
        <v>2</v>
      </c>
      <c r="C72" s="8">
        <v>57.11131356721052</v>
      </c>
      <c r="D72" s="23">
        <f>7-29</f>
        <v>-22</v>
      </c>
      <c r="E72" s="8">
        <v>63.79808751257061</v>
      </c>
      <c r="F72" s="23">
        <f>14-26</f>
        <v>-12</v>
      </c>
      <c r="G72" s="8">
        <v>59.203520279750876</v>
      </c>
      <c r="H72" s="23">
        <f>34-14</f>
        <v>20</v>
      </c>
      <c r="I72" s="8">
        <v>52.8172966074008</v>
      </c>
      <c r="J72" s="23">
        <f>21-26</f>
        <v>-5</v>
      </c>
      <c r="K72" s="8">
        <v>53.527657767504245</v>
      </c>
      <c r="L72" s="20">
        <v>-0.661</v>
      </c>
      <c r="M72" s="23">
        <f>6-29</f>
        <v>-23</v>
      </c>
      <c r="N72" s="8">
        <v>65.09114238655323</v>
      </c>
      <c r="O72" s="20">
        <v>-2.606</v>
      </c>
      <c r="P72" s="23">
        <f>16-24</f>
        <v>-8</v>
      </c>
      <c r="Q72" s="8">
        <v>59.42381617601406</v>
      </c>
      <c r="R72" s="20">
        <v>-1.029</v>
      </c>
      <c r="S72" s="23">
        <f>30-25</f>
        <v>5</v>
      </c>
      <c r="T72" s="8">
        <v>45.43928640198748</v>
      </c>
      <c r="U72" s="20">
        <v>0.518</v>
      </c>
      <c r="V72" s="23">
        <f>7-2</f>
        <v>5</v>
      </c>
      <c r="W72" s="10">
        <v>90.8862555049734</v>
      </c>
      <c r="X72" s="23">
        <f>12-4</f>
        <v>8</v>
      </c>
      <c r="Y72" s="10">
        <v>83.81142631378185</v>
      </c>
      <c r="Z72" s="23">
        <f>12-3</f>
        <v>9</v>
      </c>
      <c r="AA72" s="10">
        <v>85.09710717822847</v>
      </c>
      <c r="AB72" s="23">
        <f>2-2</f>
        <v>0</v>
      </c>
      <c r="AC72" s="10">
        <v>96.46959038367326</v>
      </c>
      <c r="AD72" s="23">
        <f>29-15</f>
        <v>14</v>
      </c>
      <c r="AE72" s="10">
        <v>56.64728925168377</v>
      </c>
      <c r="AF72" s="23">
        <f>13-21</f>
        <v>-8</v>
      </c>
      <c r="AG72" s="10">
        <v>66.11265012811496</v>
      </c>
      <c r="AH72" s="23">
        <f>15-20</f>
        <v>-5</v>
      </c>
      <c r="AI72" s="10">
        <v>65.6679725021582</v>
      </c>
      <c r="AJ72" s="23">
        <f>41-10</f>
        <v>31</v>
      </c>
      <c r="AK72" s="10">
        <v>48.80636546061685</v>
      </c>
      <c r="AL72" s="23">
        <f>21-14</f>
        <v>7</v>
      </c>
      <c r="AM72" s="10">
        <v>65.73658132406544</v>
      </c>
      <c r="AN72" s="23">
        <f>7-22</f>
        <v>-15</v>
      </c>
      <c r="AO72" s="10">
        <v>71.3113199434376</v>
      </c>
      <c r="AP72" s="23">
        <f>10-20</f>
        <v>-10</v>
      </c>
      <c r="AQ72" s="10">
        <v>70.16697872673312</v>
      </c>
      <c r="AR72" s="23">
        <f>32-7</f>
        <v>25</v>
      </c>
      <c r="AS72" s="10">
        <v>61.37527774649537</v>
      </c>
      <c r="AT72" s="25">
        <v>9.507260867403874</v>
      </c>
      <c r="AU72" s="25">
        <v>86.12974922622061</v>
      </c>
      <c r="AV72" s="25">
        <v>3.5190833182001344</v>
      </c>
      <c r="AW72" s="24">
        <f t="shared" si="45"/>
        <v>5.988177549203739</v>
      </c>
      <c r="AX72" s="25">
        <v>0.8439065881753796</v>
      </c>
      <c r="AY72" s="25">
        <v>14.401867681010607</v>
      </c>
      <c r="AZ72" s="25">
        <v>83.0230414753847</v>
      </c>
      <c r="BA72" s="25">
        <v>1.001886780024532</v>
      </c>
      <c r="BB72" s="24">
        <f t="shared" si="46"/>
        <v>13.399980900986076</v>
      </c>
      <c r="BC72" s="25">
        <v>1.5732040635801607</v>
      </c>
      <c r="BD72" s="25">
        <v>45.793609106435184</v>
      </c>
      <c r="BE72" s="25">
        <v>53.33586272221657</v>
      </c>
      <c r="BF72" s="25">
        <v>0.8705281713482527</v>
      </c>
      <c r="BG72" s="24">
        <f t="shared" si="47"/>
        <v>44.92308093508693</v>
      </c>
      <c r="BH72" s="25">
        <v>0</v>
      </c>
      <c r="BI72" s="8">
        <v>29.979153237079974</v>
      </c>
      <c r="BJ72" s="8">
        <v>67.8361738042241</v>
      </c>
      <c r="BK72" s="8">
        <v>1.6837290797676006</v>
      </c>
      <c r="BL72" s="24">
        <f t="shared" si="48"/>
        <v>28.29542415731237</v>
      </c>
      <c r="BM72" s="8">
        <v>0.5009438789283182</v>
      </c>
      <c r="BN72" s="63">
        <v>27.78095783247472</v>
      </c>
      <c r="BO72" s="8"/>
      <c r="BP72" s="24">
        <f>19-31</f>
        <v>-12</v>
      </c>
      <c r="BQ72" s="8">
        <v>49.86638434408249</v>
      </c>
      <c r="BR72" s="22" t="s">
        <v>1</v>
      </c>
      <c r="BS72" s="22" t="s">
        <v>1</v>
      </c>
      <c r="BT72" s="22" t="s">
        <v>1</v>
      </c>
      <c r="BU72" s="22" t="s">
        <v>1</v>
      </c>
      <c r="BV72" s="24">
        <f>27-25</f>
        <v>2</v>
      </c>
      <c r="BW72" s="8">
        <v>48.13418886185105</v>
      </c>
      <c r="BX72" s="24">
        <f>13-35</f>
        <v>-22</v>
      </c>
      <c r="BY72" s="8">
        <v>51.06226000642571</v>
      </c>
      <c r="BZ72" s="24">
        <f>17-31</f>
        <v>-14</v>
      </c>
      <c r="CA72" s="8">
        <v>52.25663086480128</v>
      </c>
      <c r="CB72" s="20">
        <v>-1.494</v>
      </c>
      <c r="CC72" s="22" t="s">
        <v>1</v>
      </c>
      <c r="CD72" s="22" t="s">
        <v>1</v>
      </c>
      <c r="CE72" s="22" t="s">
        <v>1</v>
      </c>
      <c r="CF72" s="22" t="s">
        <v>1</v>
      </c>
      <c r="CG72" s="22" t="s">
        <v>1</v>
      </c>
      <c r="CH72" s="22" t="s">
        <v>1</v>
      </c>
      <c r="CI72" s="24">
        <f>28-27</f>
        <v>1</v>
      </c>
      <c r="CJ72" s="8">
        <v>45.384214737683614</v>
      </c>
      <c r="CK72" s="21">
        <v>0.288</v>
      </c>
      <c r="CL72" s="24">
        <f>9-34</f>
        <v>-25</v>
      </c>
      <c r="CM72" s="8">
        <v>57.00121960909696</v>
      </c>
      <c r="CN72" s="21">
        <v>-2.725</v>
      </c>
      <c r="CO72" s="24">
        <f>11-4</f>
        <v>7</v>
      </c>
      <c r="CP72" s="10">
        <v>85.20593685124172</v>
      </c>
      <c r="CQ72" s="22" t="s">
        <v>1</v>
      </c>
      <c r="CR72" s="22" t="s">
        <v>1</v>
      </c>
      <c r="CS72" s="22" t="s">
        <v>1</v>
      </c>
      <c r="CT72" s="22" t="s">
        <v>1</v>
      </c>
      <c r="CU72" s="24">
        <f>8-2</f>
        <v>6</v>
      </c>
      <c r="CV72" s="10">
        <v>90.08047004566669</v>
      </c>
      <c r="CW72" s="8">
        <f>13-5</f>
        <v>8</v>
      </c>
      <c r="CX72" s="8">
        <v>81.8406494617448</v>
      </c>
      <c r="CY72" s="24">
        <f>24-20</f>
        <v>4</v>
      </c>
      <c r="CZ72" s="10">
        <v>55.87081768768588</v>
      </c>
      <c r="DA72" s="22" t="s">
        <v>1</v>
      </c>
      <c r="DB72" s="22" t="s">
        <v>1</v>
      </c>
      <c r="DC72" s="22" t="s">
        <v>1</v>
      </c>
      <c r="DD72" s="22" t="s">
        <v>1</v>
      </c>
      <c r="DE72" s="24">
        <f>37-15</f>
        <v>22</v>
      </c>
      <c r="DF72" s="25">
        <v>47.93217053155029</v>
      </c>
      <c r="DG72" s="24">
        <f>14-24</f>
        <v>-10</v>
      </c>
      <c r="DH72" s="8">
        <v>61.35151257653466</v>
      </c>
      <c r="DI72" s="24">
        <f>20-21</f>
        <v>-1</v>
      </c>
      <c r="DJ72" s="25">
        <v>58.68293276233679</v>
      </c>
      <c r="DK72" s="22" t="s">
        <v>1</v>
      </c>
      <c r="DL72" s="22" t="s">
        <v>1</v>
      </c>
      <c r="DM72" s="22" t="s">
        <v>1</v>
      </c>
      <c r="DN72" s="22" t="s">
        <v>1</v>
      </c>
      <c r="DO72" s="24">
        <f>34-11</f>
        <v>23</v>
      </c>
      <c r="DP72" s="25">
        <v>54.298893017967174</v>
      </c>
      <c r="DQ72" s="24">
        <f>10-28</f>
        <v>-18</v>
      </c>
      <c r="DR72" s="8">
        <v>61.70959256304429</v>
      </c>
      <c r="DS72" s="22" t="s">
        <v>1</v>
      </c>
      <c r="DT72" s="22" t="s">
        <v>1</v>
      </c>
      <c r="DU72" s="22" t="s">
        <v>1</v>
      </c>
      <c r="DV72" s="22" t="s">
        <v>1</v>
      </c>
      <c r="DW72" s="22" t="s">
        <v>1</v>
      </c>
      <c r="DX72" s="22" t="s">
        <v>1</v>
      </c>
      <c r="DY72" s="22" t="s">
        <v>1</v>
      </c>
      <c r="DZ72" s="22" t="s">
        <v>1</v>
      </c>
      <c r="EA72" s="22" t="s">
        <v>1</v>
      </c>
      <c r="EB72" s="22" t="s">
        <v>1</v>
      </c>
      <c r="EC72" s="25">
        <v>44.48894154264981</v>
      </c>
      <c r="ED72" s="25">
        <v>52.74807404869832</v>
      </c>
      <c r="EE72" s="25">
        <v>2.5169884668082787</v>
      </c>
      <c r="EF72" s="16">
        <f>EC72-EE72</f>
        <v>41.97195307584153</v>
      </c>
      <c r="EG72" s="25">
        <v>0.24599594184358206</v>
      </c>
      <c r="EH72" s="8">
        <v>25.283510784057743</v>
      </c>
      <c r="EI72" s="8">
        <v>69.11983680917054</v>
      </c>
      <c r="EJ72" s="8">
        <v>3.931514035960372</v>
      </c>
      <c r="EK72" s="16">
        <f>EH72-EJ72</f>
        <v>21.35199674809737</v>
      </c>
      <c r="EL72" s="23">
        <v>1.6651383708113543</v>
      </c>
      <c r="EM72" s="25">
        <v>12.024437276123528</v>
      </c>
      <c r="EN72" s="25">
        <v>80.42259844071825</v>
      </c>
      <c r="EO72" s="25">
        <v>4.908076276921794</v>
      </c>
      <c r="EP72" s="24">
        <f t="shared" si="53"/>
        <v>7.116360999201734</v>
      </c>
      <c r="EQ72" s="13">
        <v>2.644888006236424</v>
      </c>
      <c r="ER72" s="64">
        <v>32.5416877901201</v>
      </c>
    </row>
    <row r="73" spans="1:148" ht="12">
      <c r="A73" s="1" t="s">
        <v>32</v>
      </c>
      <c r="B73" s="24">
        <f>28-30</f>
        <v>-2</v>
      </c>
      <c r="C73" s="8">
        <v>41.757073240949936</v>
      </c>
      <c r="D73" s="23">
        <f>9-38</f>
        <v>-29</v>
      </c>
      <c r="E73" s="8">
        <v>53.640993029803084</v>
      </c>
      <c r="F73" s="23">
        <f>16-35</f>
        <v>-19</v>
      </c>
      <c r="G73" s="8">
        <v>48.70516698915661</v>
      </c>
      <c r="H73" s="23">
        <f>43-24</f>
        <v>19</v>
      </c>
      <c r="I73" s="8">
        <v>33.18608648322244</v>
      </c>
      <c r="J73" s="23">
        <f>27-32</f>
        <v>-5</v>
      </c>
      <c r="K73" s="8">
        <v>40.95869958240396</v>
      </c>
      <c r="L73" s="20">
        <v>-2.122</v>
      </c>
      <c r="M73" s="23">
        <f>9-36</f>
        <v>-27</v>
      </c>
      <c r="N73" s="8">
        <v>55.09287939323001</v>
      </c>
      <c r="O73" s="20">
        <v>-3.675</v>
      </c>
      <c r="P73" s="23">
        <f>15-41</f>
        <v>-26</v>
      </c>
      <c r="Q73" s="8">
        <v>44.525709110447934</v>
      </c>
      <c r="R73" s="20">
        <v>-4.156</v>
      </c>
      <c r="S73" s="23">
        <f>41-27</f>
        <v>14</v>
      </c>
      <c r="T73" s="8">
        <v>32.131049137626405</v>
      </c>
      <c r="U73" s="20">
        <v>-0.675</v>
      </c>
      <c r="V73" s="23">
        <f>9-3</f>
        <v>6</v>
      </c>
      <c r="W73" s="10">
        <v>88.15586136510704</v>
      </c>
      <c r="X73" s="23">
        <f>14-4</f>
        <v>10</v>
      </c>
      <c r="Y73" s="10">
        <v>82.00424980080481</v>
      </c>
      <c r="Z73" s="23">
        <f>13-6</f>
        <v>7</v>
      </c>
      <c r="AA73" s="10">
        <v>81.75904748657895</v>
      </c>
      <c r="AB73" s="23">
        <f>6-1</f>
        <v>5</v>
      </c>
      <c r="AC73" s="10">
        <v>93.40713826814067</v>
      </c>
      <c r="AD73" s="23">
        <f>41-12</f>
        <v>29</v>
      </c>
      <c r="AE73" s="10">
        <v>46.24295103268558</v>
      </c>
      <c r="AF73" s="23">
        <f>28-13</f>
        <v>15</v>
      </c>
      <c r="AG73" s="10">
        <v>59.08255040231294</v>
      </c>
      <c r="AH73" s="23">
        <f>28-17</f>
        <v>11</v>
      </c>
      <c r="AI73" s="10">
        <v>54.71940856462815</v>
      </c>
      <c r="AJ73" s="23">
        <f>52-11</f>
        <v>41</v>
      </c>
      <c r="AK73" s="10">
        <v>36.70064275667082</v>
      </c>
      <c r="AL73" s="23">
        <f>37-14</f>
        <v>23</v>
      </c>
      <c r="AM73" s="10">
        <v>48.36132856821118</v>
      </c>
      <c r="AN73" s="23">
        <f>19-16</f>
        <v>3</v>
      </c>
      <c r="AO73" s="10">
        <v>64.5604665197538</v>
      </c>
      <c r="AP73" s="23">
        <f>22-17</f>
        <v>5</v>
      </c>
      <c r="AQ73" s="10">
        <v>60.360244744222925</v>
      </c>
      <c r="AR73" s="23">
        <f>52-12</f>
        <v>40</v>
      </c>
      <c r="AS73" s="10">
        <v>35.942736631941315</v>
      </c>
      <c r="AT73" s="25">
        <v>17.979224155668703</v>
      </c>
      <c r="AU73" s="25">
        <v>79.14101352547436</v>
      </c>
      <c r="AV73" s="25">
        <v>2.001603667334488</v>
      </c>
      <c r="AW73" s="24">
        <f t="shared" si="45"/>
        <v>15.977620488334216</v>
      </c>
      <c r="AX73" s="25">
        <v>0.8781586515224366</v>
      </c>
      <c r="AY73" s="25">
        <v>20.322591825674834</v>
      </c>
      <c r="AZ73" s="25">
        <v>74.936807100294</v>
      </c>
      <c r="BA73" s="25">
        <v>3.3434972331107713</v>
      </c>
      <c r="BB73" s="24">
        <f t="shared" si="46"/>
        <v>16.979094592564064</v>
      </c>
      <c r="BC73" s="25">
        <v>1.3971038409203949</v>
      </c>
      <c r="BD73" s="25">
        <v>52.307663233393164</v>
      </c>
      <c r="BE73" s="25">
        <v>46.77946762259143</v>
      </c>
      <c r="BF73" s="25">
        <v>0.6516410854750583</v>
      </c>
      <c r="BG73" s="24">
        <f t="shared" si="47"/>
        <v>51.65602214791811</v>
      </c>
      <c r="BH73" s="25">
        <v>0.2612280585403452</v>
      </c>
      <c r="BI73" s="8">
        <v>36.98532011601496</v>
      </c>
      <c r="BJ73" s="8">
        <v>60.908825000027235</v>
      </c>
      <c r="BK73" s="8">
        <v>1.480658867682726</v>
      </c>
      <c r="BL73" s="24">
        <f t="shared" si="48"/>
        <v>35.50466124833223</v>
      </c>
      <c r="BM73" s="8">
        <v>0.6251960162750902</v>
      </c>
      <c r="BN73" s="63">
        <v>34.310670143526465</v>
      </c>
      <c r="BO73" s="8"/>
      <c r="BP73" s="24">
        <f>16-39</f>
        <v>-23</v>
      </c>
      <c r="BQ73" s="8">
        <v>45.03572384717898</v>
      </c>
      <c r="BR73" s="22" t="s">
        <v>1</v>
      </c>
      <c r="BS73" s="22" t="s">
        <v>1</v>
      </c>
      <c r="BT73" s="22" t="s">
        <v>1</v>
      </c>
      <c r="BU73" s="22" t="s">
        <v>1</v>
      </c>
      <c r="BV73" s="24">
        <f>27-33</f>
        <v>-6</v>
      </c>
      <c r="BW73" s="8">
        <v>39.48626687618062</v>
      </c>
      <c r="BX73" s="24">
        <f>8-43</f>
        <v>-35</v>
      </c>
      <c r="BY73" s="8">
        <v>48.866966105292185</v>
      </c>
      <c r="BZ73" s="24">
        <f>14-38</f>
        <v>-24</v>
      </c>
      <c r="CA73" s="8">
        <v>47.65989579710047</v>
      </c>
      <c r="CB73" s="20">
        <v>-3.128</v>
      </c>
      <c r="CC73" s="22" t="s">
        <v>1</v>
      </c>
      <c r="CD73" s="22" t="s">
        <v>1</v>
      </c>
      <c r="CE73" s="22" t="s">
        <v>1</v>
      </c>
      <c r="CF73" s="22" t="s">
        <v>1</v>
      </c>
      <c r="CG73" s="22" t="s">
        <v>1</v>
      </c>
      <c r="CH73" s="22" t="s">
        <v>1</v>
      </c>
      <c r="CI73" s="24">
        <f>24-30</f>
        <v>-6</v>
      </c>
      <c r="CJ73" s="8">
        <v>45.49858831940025</v>
      </c>
      <c r="CK73" s="21">
        <v>-1.279</v>
      </c>
      <c r="CL73" s="24">
        <f>7-44</f>
        <v>-37</v>
      </c>
      <c r="CM73" s="8">
        <v>49.152022429420576</v>
      </c>
      <c r="CN73" s="21">
        <v>-4.405</v>
      </c>
      <c r="CO73" s="24">
        <f>14-4</f>
        <v>10</v>
      </c>
      <c r="CP73" s="10">
        <v>81.68269924219027</v>
      </c>
      <c r="CQ73" s="22" t="s">
        <v>1</v>
      </c>
      <c r="CR73" s="22" t="s">
        <v>1</v>
      </c>
      <c r="CS73" s="22" t="s">
        <v>1</v>
      </c>
      <c r="CT73" s="22" t="s">
        <v>1</v>
      </c>
      <c r="CU73" s="24">
        <f>10-1</f>
        <v>9</v>
      </c>
      <c r="CV73" s="10">
        <v>89.68551783938128</v>
      </c>
      <c r="CW73" s="8">
        <f>17-7</f>
        <v>10</v>
      </c>
      <c r="CX73" s="8">
        <v>76.15770157957094</v>
      </c>
      <c r="CY73" s="24">
        <f>35-17</f>
        <v>18</v>
      </c>
      <c r="CZ73" s="10">
        <v>47.942241109132226</v>
      </c>
      <c r="DA73" s="22" t="s">
        <v>1</v>
      </c>
      <c r="DB73" s="22" t="s">
        <v>1</v>
      </c>
      <c r="DC73" s="22" t="s">
        <v>1</v>
      </c>
      <c r="DD73" s="22" t="s">
        <v>1</v>
      </c>
      <c r="DE73" s="24">
        <f>61-6</f>
        <v>55</v>
      </c>
      <c r="DF73" s="25">
        <v>32.35630650691727</v>
      </c>
      <c r="DG73" s="24">
        <f>17-24</f>
        <v>-7</v>
      </c>
      <c r="DH73" s="8">
        <v>58.70248154207178</v>
      </c>
      <c r="DI73" s="24">
        <f>27-19</f>
        <v>8</v>
      </c>
      <c r="DJ73" s="25">
        <v>54.2035776863505</v>
      </c>
      <c r="DK73" s="22" t="s">
        <v>1</v>
      </c>
      <c r="DL73" s="22" t="s">
        <v>1</v>
      </c>
      <c r="DM73" s="22" t="s">
        <v>1</v>
      </c>
      <c r="DN73" s="22" t="s">
        <v>1</v>
      </c>
      <c r="DO73" s="24">
        <f>44-9</f>
        <v>35</v>
      </c>
      <c r="DP73" s="25">
        <v>47.0604522332653</v>
      </c>
      <c r="DQ73" s="24">
        <f>15-26</f>
        <v>-11</v>
      </c>
      <c r="DR73" s="8">
        <v>59.13505913289296</v>
      </c>
      <c r="DS73" s="22" t="s">
        <v>1</v>
      </c>
      <c r="DT73" s="22" t="s">
        <v>1</v>
      </c>
      <c r="DU73" s="22" t="s">
        <v>1</v>
      </c>
      <c r="DV73" s="22" t="s">
        <v>1</v>
      </c>
      <c r="DW73" s="22" t="s">
        <v>1</v>
      </c>
      <c r="DX73" s="22" t="s">
        <v>1</v>
      </c>
      <c r="DY73" s="22" t="s">
        <v>1</v>
      </c>
      <c r="DZ73" s="22" t="s">
        <v>1</v>
      </c>
      <c r="EA73" s="22" t="s">
        <v>1</v>
      </c>
      <c r="EB73" s="22" t="s">
        <v>1</v>
      </c>
      <c r="EC73" s="25">
        <v>50.29073698519383</v>
      </c>
      <c r="ED73" s="25">
        <v>48.32065782106682</v>
      </c>
      <c r="EE73" s="25">
        <v>0.3876558394847114</v>
      </c>
      <c r="EF73" s="16">
        <f>EC73-EE73</f>
        <v>49.90308114570912</v>
      </c>
      <c r="EG73" s="25">
        <v>1.0009493542546393</v>
      </c>
      <c r="EH73" s="8">
        <v>28.47781387966799</v>
      </c>
      <c r="EI73" s="8">
        <v>67.50279814891134</v>
      </c>
      <c r="EJ73" s="8">
        <v>2.5478088694820427</v>
      </c>
      <c r="EK73" s="16">
        <f>EH73-EJ73</f>
        <v>25.930005010185948</v>
      </c>
      <c r="EL73" s="23">
        <v>1.4715791019386306</v>
      </c>
      <c r="EM73" s="25">
        <v>13.418575973759857</v>
      </c>
      <c r="EN73" s="25">
        <v>80.74579237504265</v>
      </c>
      <c r="EO73" s="25">
        <v>4.039138492500668</v>
      </c>
      <c r="EP73" s="24">
        <f t="shared" si="53"/>
        <v>9.379437481259188</v>
      </c>
      <c r="EQ73" s="13">
        <v>1.7964931586968154</v>
      </c>
      <c r="ER73" s="64">
        <v>34.8476173427766</v>
      </c>
    </row>
    <row r="74" spans="1:148" ht="12">
      <c r="A74" s="1" t="s">
        <v>33</v>
      </c>
      <c r="B74" s="24">
        <f>31-33</f>
        <v>-2</v>
      </c>
      <c r="C74" s="8">
        <v>35.76507351062288</v>
      </c>
      <c r="D74" s="23">
        <f>15-46</f>
        <v>-31</v>
      </c>
      <c r="E74" s="8">
        <v>38.8521205040279</v>
      </c>
      <c r="F74" s="23">
        <f>23-36</f>
        <v>-13</v>
      </c>
      <c r="G74" s="8">
        <v>40.7969273999161</v>
      </c>
      <c r="H74" s="23">
        <f>42-25</f>
        <v>17</v>
      </c>
      <c r="I74" s="8">
        <v>32.599888658666245</v>
      </c>
      <c r="J74" s="23">
        <f>19-42</f>
        <v>-23</v>
      </c>
      <c r="K74" s="8">
        <v>38.35998667515285</v>
      </c>
      <c r="L74" s="20">
        <v>-3.464</v>
      </c>
      <c r="M74" s="23">
        <f>4-48</f>
        <v>-44</v>
      </c>
      <c r="N74" s="8">
        <v>47.32154775332747</v>
      </c>
      <c r="O74" s="20">
        <v>-5.911</v>
      </c>
      <c r="P74" s="23">
        <f>17-44</f>
        <v>-27</v>
      </c>
      <c r="Q74" s="8">
        <v>39.159319442942284</v>
      </c>
      <c r="R74" s="20">
        <v>-3.768</v>
      </c>
      <c r="S74" s="23">
        <f>29-38</f>
        <v>-9</v>
      </c>
      <c r="T74" s="8">
        <v>33.18832634144217</v>
      </c>
      <c r="U74" s="20">
        <v>-2.027</v>
      </c>
      <c r="V74" s="23">
        <f>14-2</f>
        <v>12</v>
      </c>
      <c r="W74" s="10">
        <v>84.624423827057</v>
      </c>
      <c r="X74" s="23">
        <f>22-3</f>
        <v>19</v>
      </c>
      <c r="Y74" s="10">
        <v>74.83947847945244</v>
      </c>
      <c r="Z74" s="23">
        <f>16-3</f>
        <v>13</v>
      </c>
      <c r="AA74" s="10">
        <v>81.22787177637309</v>
      </c>
      <c r="AB74" s="23">
        <f>9-0</f>
        <v>9</v>
      </c>
      <c r="AC74" s="10">
        <v>91.00542228958577</v>
      </c>
      <c r="AD74" s="23">
        <f>17-41</f>
        <v>-24</v>
      </c>
      <c r="AE74" s="10">
        <v>41.824508160114284</v>
      </c>
      <c r="AF74" s="23">
        <f>8-44</f>
        <v>-36</v>
      </c>
      <c r="AG74" s="10">
        <v>47.70922018708786</v>
      </c>
      <c r="AH74" s="23">
        <f>12-43</f>
        <v>-31</v>
      </c>
      <c r="AI74" s="10">
        <v>44.8140822707566</v>
      </c>
      <c r="AJ74" s="23">
        <f>23-39</f>
        <v>-16</v>
      </c>
      <c r="AK74" s="10">
        <v>37.711500173656624</v>
      </c>
      <c r="AL74" s="23">
        <f>15-41</f>
        <v>-26</v>
      </c>
      <c r="AM74" s="10">
        <v>44.00233887830571</v>
      </c>
      <c r="AN74" s="23">
        <f>6-42</f>
        <v>-36</v>
      </c>
      <c r="AO74" s="10">
        <v>52.028260706954875</v>
      </c>
      <c r="AP74" s="23">
        <f>9-42</f>
        <v>-33</v>
      </c>
      <c r="AQ74" s="10">
        <v>49.08956049823933</v>
      </c>
      <c r="AR74" s="23">
        <f>23-39</f>
        <v>-16</v>
      </c>
      <c r="AS74" s="10">
        <v>38.099003434527845</v>
      </c>
      <c r="AT74" s="25">
        <v>13.641497246013449</v>
      </c>
      <c r="AU74" s="25">
        <v>78.63189097298967</v>
      </c>
      <c r="AV74" s="25">
        <v>5.059762586229294</v>
      </c>
      <c r="AW74" s="24">
        <f t="shared" si="45"/>
        <v>8.581734659784155</v>
      </c>
      <c r="AX74" s="25">
        <v>2.6668491947675963</v>
      </c>
      <c r="AY74" s="25">
        <v>22.861472324013224</v>
      </c>
      <c r="AZ74" s="25">
        <v>72.68357517472626</v>
      </c>
      <c r="BA74" s="25">
        <v>3.413802675070331</v>
      </c>
      <c r="BB74" s="24">
        <f t="shared" si="46"/>
        <v>19.44766964894289</v>
      </c>
      <c r="BC74" s="25">
        <v>1.0411498261901864</v>
      </c>
      <c r="BD74" s="25">
        <v>52.37448422654125</v>
      </c>
      <c r="BE74" s="25">
        <v>44.46340635237973</v>
      </c>
      <c r="BF74" s="25">
        <v>3.0903539992921303</v>
      </c>
      <c r="BG74" s="24">
        <f t="shared" si="47"/>
        <v>49.28413022724912</v>
      </c>
      <c r="BH74" s="25">
        <v>0.07175542178688878</v>
      </c>
      <c r="BI74" s="8">
        <v>36.124679551383664</v>
      </c>
      <c r="BJ74" s="8">
        <v>59.143327917565244</v>
      </c>
      <c r="BK74" s="8">
        <v>3.730687351764841</v>
      </c>
      <c r="BL74" s="24">
        <f t="shared" si="48"/>
        <v>32.39399219961882</v>
      </c>
      <c r="BM74" s="8">
        <v>1.001305179286245</v>
      </c>
      <c r="BN74" s="63">
        <v>32.514999257987235</v>
      </c>
      <c r="BO74" s="8"/>
      <c r="BP74" s="24">
        <f>20-38</f>
        <v>-18</v>
      </c>
      <c r="BQ74" s="8">
        <v>42.43056534180756</v>
      </c>
      <c r="BR74" s="22" t="s">
        <v>1</v>
      </c>
      <c r="BS74" s="22" t="s">
        <v>1</v>
      </c>
      <c r="BT74" s="22" t="s">
        <v>1</v>
      </c>
      <c r="BU74" s="22" t="s">
        <v>1</v>
      </c>
      <c r="BV74" s="24">
        <f>33-27</f>
        <v>6</v>
      </c>
      <c r="BW74" s="8">
        <v>39.87446396441134</v>
      </c>
      <c r="BX74" s="24">
        <f>11-45</f>
        <v>-34</v>
      </c>
      <c r="BY74" s="8">
        <v>44.195250366717296</v>
      </c>
      <c r="BZ74" s="24">
        <f>14-45</f>
        <v>-31</v>
      </c>
      <c r="CA74" s="8">
        <v>40.234036937363015</v>
      </c>
      <c r="CB74" s="20">
        <v>-4.104</v>
      </c>
      <c r="CC74" s="22" t="s">
        <v>1</v>
      </c>
      <c r="CD74" s="22" t="s">
        <v>1</v>
      </c>
      <c r="CE74" s="22" t="s">
        <v>1</v>
      </c>
      <c r="CF74" s="22" t="s">
        <v>1</v>
      </c>
      <c r="CG74" s="22" t="s">
        <v>1</v>
      </c>
      <c r="CH74" s="22" t="s">
        <v>1</v>
      </c>
      <c r="CI74" s="24">
        <f>24-41</f>
        <v>-17</v>
      </c>
      <c r="CJ74" s="8">
        <v>34.60200725077771</v>
      </c>
      <c r="CK74" s="21">
        <v>-2.028</v>
      </c>
      <c r="CL74" s="24">
        <f>7-49</f>
        <v>-42</v>
      </c>
      <c r="CM74" s="8">
        <v>44.122285868197025</v>
      </c>
      <c r="CN74" s="21">
        <v>-5.538</v>
      </c>
      <c r="CO74" s="24">
        <f>16-3</f>
        <v>13</v>
      </c>
      <c r="CP74" s="10">
        <v>81.09724034715668</v>
      </c>
      <c r="CQ74" s="22" t="s">
        <v>1</v>
      </c>
      <c r="CR74" s="22" t="s">
        <v>1</v>
      </c>
      <c r="CS74" s="22" t="s">
        <v>1</v>
      </c>
      <c r="CT74" s="22" t="s">
        <v>1</v>
      </c>
      <c r="CU74" s="24">
        <f>9-1</f>
        <v>8</v>
      </c>
      <c r="CV74" s="10">
        <v>90.8565417511469</v>
      </c>
      <c r="CW74" s="8">
        <f>21-5</f>
        <v>16</v>
      </c>
      <c r="CX74" s="8">
        <v>74.3595995033708</v>
      </c>
      <c r="CY74" s="24">
        <f>12-39</f>
        <v>-27</v>
      </c>
      <c r="CZ74" s="10">
        <v>49.4467044848432</v>
      </c>
      <c r="DA74" s="22" t="s">
        <v>1</v>
      </c>
      <c r="DB74" s="22" t="s">
        <v>1</v>
      </c>
      <c r="DC74" s="22" t="s">
        <v>1</v>
      </c>
      <c r="DD74" s="22" t="s">
        <v>1</v>
      </c>
      <c r="DE74" s="24">
        <f>19-28</f>
        <v>-9</v>
      </c>
      <c r="DF74" s="25">
        <v>52.881039113722835</v>
      </c>
      <c r="DG74" s="24">
        <f>7-46</f>
        <v>-39</v>
      </c>
      <c r="DH74" s="8">
        <v>47.07570349728205</v>
      </c>
      <c r="DI74" s="24">
        <f>10-39</f>
        <v>-29</v>
      </c>
      <c r="DJ74" s="25">
        <v>50.7565557388153</v>
      </c>
      <c r="DK74" s="22" t="s">
        <v>1</v>
      </c>
      <c r="DL74" s="22" t="s">
        <v>1</v>
      </c>
      <c r="DM74" s="22" t="s">
        <v>1</v>
      </c>
      <c r="DN74" s="22" t="s">
        <v>1</v>
      </c>
      <c r="DO74" s="24">
        <f>17-32</f>
        <v>-15</v>
      </c>
      <c r="DP74" s="25">
        <v>51.34712028345584</v>
      </c>
      <c r="DQ74" s="24">
        <f>5-45</f>
        <v>-40</v>
      </c>
      <c r="DR74" s="8">
        <v>50.34884092069982</v>
      </c>
      <c r="DS74" s="22" t="s">
        <v>1</v>
      </c>
      <c r="DT74" s="22" t="s">
        <v>1</v>
      </c>
      <c r="DU74" s="22" t="s">
        <v>1</v>
      </c>
      <c r="DV74" s="22" t="s">
        <v>1</v>
      </c>
      <c r="DW74" s="22" t="s">
        <v>1</v>
      </c>
      <c r="DX74" s="22" t="s">
        <v>1</v>
      </c>
      <c r="DY74" s="22" t="s">
        <v>1</v>
      </c>
      <c r="DZ74" s="22" t="s">
        <v>1</v>
      </c>
      <c r="EA74" s="22" t="s">
        <v>1</v>
      </c>
      <c r="EB74" s="22" t="s">
        <v>1</v>
      </c>
      <c r="EC74" s="25">
        <v>49.50847544472884</v>
      </c>
      <c r="ED74" s="25">
        <v>47.09835569492341</v>
      </c>
      <c r="EE74" s="25">
        <v>2.9491394984106067</v>
      </c>
      <c r="EF74" s="16">
        <f>EC74-EE74</f>
        <v>46.55933594631823</v>
      </c>
      <c r="EG74" s="25">
        <v>0.44402936193714254</v>
      </c>
      <c r="EH74" s="8">
        <v>31.867585355028165</v>
      </c>
      <c r="EI74" s="8">
        <v>59.94116736284278</v>
      </c>
      <c r="EJ74" s="8">
        <v>5.428249427709388</v>
      </c>
      <c r="EK74" s="16">
        <f>EH74-EJ74</f>
        <v>26.439335927318776</v>
      </c>
      <c r="EL74" s="23">
        <v>2.7629978544196594</v>
      </c>
      <c r="EM74" s="25">
        <v>19.688641733048375</v>
      </c>
      <c r="EN74" s="25">
        <v>68.80760655360747</v>
      </c>
      <c r="EO74" s="25">
        <v>7.139780983548953</v>
      </c>
      <c r="EP74" s="24">
        <f t="shared" si="53"/>
        <v>12.548860749499422</v>
      </c>
      <c r="EQ74" s="13">
        <v>4.363970729795204</v>
      </c>
      <c r="ER74" s="64">
        <v>29.93117056499715</v>
      </c>
    </row>
    <row r="75" spans="1:148" ht="12">
      <c r="A75" s="1" t="s">
        <v>103</v>
      </c>
      <c r="B75" s="24">
        <f aca="true" t="shared" si="54" ref="B75:AV75">AVERAGE(B71:B74)</f>
        <v>-5.5</v>
      </c>
      <c r="C75" s="13">
        <f t="shared" si="54"/>
        <v>46.68208601455488</v>
      </c>
      <c r="D75" s="24">
        <f t="shared" si="54"/>
        <v>-25.5</v>
      </c>
      <c r="E75" s="13">
        <f t="shared" si="54"/>
        <v>55.94609621694352</v>
      </c>
      <c r="F75" s="24">
        <f t="shared" si="54"/>
        <v>-14.5</v>
      </c>
      <c r="G75" s="13">
        <f t="shared" si="54"/>
        <v>52.211778088039694</v>
      </c>
      <c r="H75" s="24">
        <f t="shared" si="54"/>
        <v>8.75</v>
      </c>
      <c r="I75" s="13">
        <f t="shared" si="54"/>
        <v>39.9676674431776</v>
      </c>
      <c r="J75" s="24">
        <f t="shared" si="54"/>
        <v>-5.75</v>
      </c>
      <c r="K75" s="13">
        <f t="shared" si="54"/>
        <v>46.73481497348183</v>
      </c>
      <c r="L75" s="21">
        <f t="shared" si="54"/>
        <v>-1.6237499999999998</v>
      </c>
      <c r="M75" s="24">
        <f t="shared" si="54"/>
        <v>-26.75</v>
      </c>
      <c r="N75" s="13">
        <f t="shared" si="54"/>
        <v>59.209916285889065</v>
      </c>
      <c r="O75" s="21">
        <f t="shared" si="54"/>
        <v>-3.582</v>
      </c>
      <c r="P75" s="24">
        <f t="shared" si="54"/>
        <v>-16.25</v>
      </c>
      <c r="Q75" s="13">
        <f t="shared" si="54"/>
        <v>51.727967044322256</v>
      </c>
      <c r="R75" s="21">
        <f t="shared" si="54"/>
        <v>-2.47625</v>
      </c>
      <c r="S75" s="24">
        <f t="shared" si="54"/>
        <v>9.25</v>
      </c>
      <c r="T75" s="13">
        <f t="shared" si="54"/>
        <v>38.406694263602084</v>
      </c>
      <c r="U75" s="21">
        <f t="shared" si="54"/>
        <v>-0.29700000000000004</v>
      </c>
      <c r="V75" s="24">
        <f t="shared" si="54"/>
        <v>6.5</v>
      </c>
      <c r="W75" s="13">
        <f t="shared" si="54"/>
        <v>88.94698763672217</v>
      </c>
      <c r="X75" s="24">
        <f t="shared" si="54"/>
        <v>10.5</v>
      </c>
      <c r="Y75" s="13">
        <f t="shared" si="54"/>
        <v>81.41468213143038</v>
      </c>
      <c r="Z75" s="24">
        <f t="shared" si="54"/>
        <v>7.75</v>
      </c>
      <c r="AA75" s="13">
        <f t="shared" si="54"/>
        <v>84.00021435679712</v>
      </c>
      <c r="AB75" s="24">
        <f t="shared" si="54"/>
        <v>4</v>
      </c>
      <c r="AC75" s="13">
        <f t="shared" si="54"/>
        <v>94.53741161254868</v>
      </c>
      <c r="AD75" s="24">
        <f t="shared" si="54"/>
        <v>11</v>
      </c>
      <c r="AE75" s="13">
        <f t="shared" si="54"/>
        <v>50.6082990219242</v>
      </c>
      <c r="AF75" s="24">
        <f t="shared" si="54"/>
        <v>-5.5</v>
      </c>
      <c r="AG75" s="13">
        <f t="shared" si="54"/>
        <v>60.47588809943037</v>
      </c>
      <c r="AH75" s="24">
        <f t="shared" si="54"/>
        <v>-3</v>
      </c>
      <c r="AI75" s="13">
        <f t="shared" si="54"/>
        <v>58.114732624245036</v>
      </c>
      <c r="AJ75" s="24">
        <f t="shared" si="54"/>
        <v>23.75</v>
      </c>
      <c r="AK75" s="13">
        <f t="shared" si="54"/>
        <v>42.98618467813872</v>
      </c>
      <c r="AL75" s="24">
        <f t="shared" si="54"/>
        <v>6.5</v>
      </c>
      <c r="AM75" s="13">
        <f t="shared" si="54"/>
        <v>54.66643295889851</v>
      </c>
      <c r="AN75" s="24">
        <f t="shared" si="54"/>
        <v>-11.5</v>
      </c>
      <c r="AO75" s="13">
        <f t="shared" si="54"/>
        <v>65.6840252383512</v>
      </c>
      <c r="AP75" s="24">
        <f t="shared" si="54"/>
        <v>-6.5</v>
      </c>
      <c r="AQ75" s="13">
        <f t="shared" si="54"/>
        <v>62.10379261187241</v>
      </c>
      <c r="AR75" s="24">
        <f t="shared" si="54"/>
        <v>21.25</v>
      </c>
      <c r="AS75" s="13">
        <f t="shared" si="54"/>
        <v>46.43059191198981</v>
      </c>
      <c r="AT75" s="13">
        <f t="shared" si="54"/>
        <v>14.772384446445255</v>
      </c>
      <c r="AU75" s="13">
        <f t="shared" si="54"/>
        <v>80.51393859902116</v>
      </c>
      <c r="AV75" s="13">
        <f t="shared" si="54"/>
        <v>3.5287717272177064</v>
      </c>
      <c r="AW75" s="24">
        <f t="shared" si="45"/>
        <v>11.24361271922755</v>
      </c>
      <c r="AX75" s="13">
        <f>AVERAGE(AX71:AX74)</f>
        <v>1.1849052273158711</v>
      </c>
      <c r="AY75" s="13">
        <f>AVERAGE(AY71:AY74)</f>
        <v>18.53591795240187</v>
      </c>
      <c r="AZ75" s="13">
        <f>AVERAGE(AZ71:AZ74)</f>
        <v>78.01666221299422</v>
      </c>
      <c r="BA75" s="13">
        <f>AVERAGE(BA71:BA74)</f>
        <v>2.444555401931219</v>
      </c>
      <c r="BB75" s="24">
        <f t="shared" si="46"/>
        <v>16.091362550470652</v>
      </c>
      <c r="BC75" s="13">
        <f>AVERAGE(BC71:BC74)</f>
        <v>1.0028644326726854</v>
      </c>
      <c r="BD75" s="13">
        <f>AVERAGE(BD71:BD74)</f>
        <v>50.14819815032616</v>
      </c>
      <c r="BE75" s="13">
        <f>AVERAGE(BE71:BE74)</f>
        <v>48.52295108277273</v>
      </c>
      <c r="BF75" s="13">
        <f>AVERAGE(BF71:BF74)</f>
        <v>1.207312236237372</v>
      </c>
      <c r="BG75" s="24">
        <f t="shared" si="47"/>
        <v>48.94088591408879</v>
      </c>
      <c r="BH75" s="13">
        <f>AVERAGE(BH71:BH74)</f>
        <v>0.12153853066374194</v>
      </c>
      <c r="BI75" s="13">
        <f>AVERAGE(BI71:BI74)</f>
        <v>34.57134919287586</v>
      </c>
      <c r="BJ75" s="13">
        <f>AVERAGE(BJ71:BJ74)</f>
        <v>62.75247925815895</v>
      </c>
      <c r="BK75" s="13">
        <f>AVERAGE(BK71:BK74)</f>
        <v>2.0972890475124712</v>
      </c>
      <c r="BL75" s="24">
        <f t="shared" si="48"/>
        <v>32.47406014536339</v>
      </c>
      <c r="BM75" s="13">
        <f>AVERAGE(BM71:BM74)</f>
        <v>0.578882501452723</v>
      </c>
      <c r="BN75" s="14">
        <f>AVERAGE(BN71:BN74)</f>
        <v>30.361042209926012</v>
      </c>
      <c r="BO75" s="13"/>
      <c r="BP75" s="24">
        <f aca="true" t="shared" si="55" ref="BP75:DR75">AVERAGE(BP71:BP74)</f>
        <v>-20.75</v>
      </c>
      <c r="BQ75" s="13">
        <f t="shared" si="55"/>
        <v>47.90985187665116</v>
      </c>
      <c r="BR75" s="22" t="s">
        <v>1</v>
      </c>
      <c r="BS75" s="22" t="s">
        <v>1</v>
      </c>
      <c r="BT75" s="22" t="s">
        <v>1</v>
      </c>
      <c r="BU75" s="22" t="s">
        <v>1</v>
      </c>
      <c r="BV75" s="24">
        <f t="shared" si="55"/>
        <v>-6.25</v>
      </c>
      <c r="BW75" s="13">
        <f t="shared" si="55"/>
        <v>44.60602583278468</v>
      </c>
      <c r="BX75" s="24">
        <f t="shared" si="55"/>
        <v>-30.5</v>
      </c>
      <c r="BY75" s="13">
        <f t="shared" si="55"/>
        <v>50.19075215551918</v>
      </c>
      <c r="BZ75" s="24">
        <f t="shared" si="55"/>
        <v>-21.25</v>
      </c>
      <c r="CA75" s="13">
        <f t="shared" si="55"/>
        <v>49.05574179391333</v>
      </c>
      <c r="CB75" s="21">
        <f t="shared" si="55"/>
        <v>-2.65225</v>
      </c>
      <c r="CC75" s="22" t="s">
        <v>1</v>
      </c>
      <c r="CD75" s="22" t="s">
        <v>1</v>
      </c>
      <c r="CE75" s="22" t="s">
        <v>1</v>
      </c>
      <c r="CF75" s="22" t="s">
        <v>1</v>
      </c>
      <c r="CG75" s="22" t="s">
        <v>1</v>
      </c>
      <c r="CH75" s="22" t="s">
        <v>1</v>
      </c>
      <c r="CI75" s="24">
        <f t="shared" si="55"/>
        <v>-5.75</v>
      </c>
      <c r="CJ75" s="13">
        <f t="shared" si="55"/>
        <v>43.616812575396686</v>
      </c>
      <c r="CK75" s="21">
        <f t="shared" si="55"/>
        <v>-0.87975</v>
      </c>
      <c r="CL75" s="24">
        <f t="shared" si="55"/>
        <v>-32.75</v>
      </c>
      <c r="CM75" s="21">
        <f t="shared" si="55"/>
        <v>52.81067773985667</v>
      </c>
      <c r="CN75" s="21">
        <f t="shared" si="55"/>
        <v>-3.87625</v>
      </c>
      <c r="CO75" s="24">
        <f t="shared" si="55"/>
        <v>8.5</v>
      </c>
      <c r="CP75" s="13">
        <f t="shared" si="55"/>
        <v>84.40923056396448</v>
      </c>
      <c r="CQ75" s="22" t="s">
        <v>1</v>
      </c>
      <c r="CR75" s="22" t="s">
        <v>1</v>
      </c>
      <c r="CS75" s="22" t="s">
        <v>1</v>
      </c>
      <c r="CT75" s="22" t="s">
        <v>1</v>
      </c>
      <c r="CU75" s="24">
        <f t="shared" si="55"/>
        <v>6.25</v>
      </c>
      <c r="CV75" s="13">
        <f t="shared" si="55"/>
        <v>91.60326815783823</v>
      </c>
      <c r="CW75" s="13">
        <f t="shared" si="55"/>
        <v>9.75</v>
      </c>
      <c r="CX75" s="13">
        <f t="shared" si="55"/>
        <v>79.4426003188532</v>
      </c>
      <c r="CY75" s="24">
        <f t="shared" si="55"/>
        <v>5.5</v>
      </c>
      <c r="CZ75" s="13">
        <f t="shared" si="55"/>
        <v>52.18107995747925</v>
      </c>
      <c r="DA75" s="22" t="s">
        <v>1</v>
      </c>
      <c r="DB75" s="22" t="s">
        <v>1</v>
      </c>
      <c r="DC75" s="22" t="s">
        <v>1</v>
      </c>
      <c r="DD75" s="22" t="s">
        <v>1</v>
      </c>
      <c r="DE75" s="24">
        <f t="shared" si="55"/>
        <v>29.5</v>
      </c>
      <c r="DF75" s="13">
        <f t="shared" si="55"/>
        <v>45.01956854341742</v>
      </c>
      <c r="DG75" s="24">
        <f t="shared" si="55"/>
        <v>-11.25</v>
      </c>
      <c r="DH75" s="13">
        <f t="shared" si="55"/>
        <v>57.12525473077743</v>
      </c>
      <c r="DI75" s="24">
        <f t="shared" si="55"/>
        <v>-1</v>
      </c>
      <c r="DJ75" s="13">
        <f t="shared" si="55"/>
        <v>56.04653046585734</v>
      </c>
      <c r="DK75" s="22" t="s">
        <v>1</v>
      </c>
      <c r="DL75" s="22" t="s">
        <v>1</v>
      </c>
      <c r="DM75" s="22" t="s">
        <v>1</v>
      </c>
      <c r="DN75" s="22" t="s">
        <v>1</v>
      </c>
      <c r="DO75" s="24">
        <f t="shared" si="55"/>
        <v>20.25</v>
      </c>
      <c r="DP75" s="13">
        <f t="shared" si="55"/>
        <v>51.59397844766896</v>
      </c>
      <c r="DQ75" s="13">
        <f t="shared" si="55"/>
        <v>-16</v>
      </c>
      <c r="DR75" s="13">
        <f t="shared" si="55"/>
        <v>59.120489870837034</v>
      </c>
      <c r="DS75" s="22" t="s">
        <v>1</v>
      </c>
      <c r="DT75" s="22" t="s">
        <v>1</v>
      </c>
      <c r="DU75" s="22" t="s">
        <v>1</v>
      </c>
      <c r="DV75" s="22" t="s">
        <v>1</v>
      </c>
      <c r="DW75" s="22" t="s">
        <v>1</v>
      </c>
      <c r="DX75" s="22" t="s">
        <v>1</v>
      </c>
      <c r="DY75" s="22" t="s">
        <v>1</v>
      </c>
      <c r="DZ75" s="22" t="s">
        <v>1</v>
      </c>
      <c r="EA75" s="22" t="s">
        <v>1</v>
      </c>
      <c r="EB75" s="22" t="s">
        <v>1</v>
      </c>
      <c r="EC75" s="13">
        <f aca="true" t="shared" si="56" ref="EC75:EO75">AVERAGE(EC71:EC74)</f>
        <v>47.053937321908435</v>
      </c>
      <c r="ED75" s="13">
        <f t="shared" si="56"/>
        <v>50.98959667938706</v>
      </c>
      <c r="EE75" s="13">
        <f t="shared" si="56"/>
        <v>1.5337223341956614</v>
      </c>
      <c r="EF75" s="13">
        <f t="shared" si="56"/>
        <v>45.52021498771278</v>
      </c>
      <c r="EG75" s="13">
        <f t="shared" si="56"/>
        <v>0.42274366450884093</v>
      </c>
      <c r="EH75" s="13">
        <f t="shared" si="56"/>
        <v>27.97973379433343</v>
      </c>
      <c r="EI75" s="13">
        <f t="shared" si="56"/>
        <v>67.22123019881452</v>
      </c>
      <c r="EJ75" s="13">
        <f t="shared" si="56"/>
        <v>3.2124375132604506</v>
      </c>
      <c r="EK75" s="13">
        <f t="shared" si="56"/>
        <v>24.76729628107298</v>
      </c>
      <c r="EL75" s="13">
        <f t="shared" si="56"/>
        <v>1.5865984935916044</v>
      </c>
      <c r="EM75" s="13">
        <f t="shared" si="56"/>
        <v>14.811257134976515</v>
      </c>
      <c r="EN75" s="13">
        <f t="shared" si="56"/>
        <v>78.42724919902123</v>
      </c>
      <c r="EO75" s="13">
        <f t="shared" si="56"/>
        <v>4.371391365318529</v>
      </c>
      <c r="EP75" s="24">
        <f t="shared" si="53"/>
        <v>10.439865769657985</v>
      </c>
      <c r="EQ75" s="13">
        <f>AVERAGE(EQ71:EQ74)</f>
        <v>2.3901023006837105</v>
      </c>
      <c r="ER75" s="64">
        <f>AVERAGE(ER71:ER74)</f>
        <v>32.01122150725121</v>
      </c>
    </row>
    <row r="76" spans="1:148" ht="12">
      <c r="A76" s="1" t="s">
        <v>194</v>
      </c>
      <c r="B76" s="24">
        <f>5-58</f>
        <v>-53</v>
      </c>
      <c r="C76" s="8">
        <v>37.140339785582654</v>
      </c>
      <c r="D76" s="23">
        <f>2-56</f>
        <v>-54</v>
      </c>
      <c r="E76" s="8">
        <v>42.4551819242601</v>
      </c>
      <c r="F76" s="23">
        <f>7-56</f>
        <v>-49</v>
      </c>
      <c r="G76" s="8">
        <v>37.27610208816705</v>
      </c>
      <c r="H76" s="23">
        <f>9-61</f>
        <v>-52</v>
      </c>
      <c r="I76" s="8">
        <v>29.333281769665092</v>
      </c>
      <c r="J76" s="23">
        <f>17-38</f>
        <v>-21</v>
      </c>
      <c r="K76" s="8">
        <v>45.50517211229335</v>
      </c>
      <c r="L76" s="20">
        <v>-4.072</v>
      </c>
      <c r="M76" s="23">
        <f>3-41</f>
        <v>-38</v>
      </c>
      <c r="N76" s="8">
        <v>56.19762384639865</v>
      </c>
      <c r="O76" s="20">
        <v>-6.293</v>
      </c>
      <c r="P76" s="23">
        <f>9-49</f>
        <v>-40</v>
      </c>
      <c r="Q76" s="8">
        <v>42.74245939675174</v>
      </c>
      <c r="R76" s="20">
        <v>-6.126</v>
      </c>
      <c r="S76" s="23">
        <f>40-29</f>
        <v>11</v>
      </c>
      <c r="T76" s="8">
        <v>31.063887384948565</v>
      </c>
      <c r="U76" s="20">
        <v>0.022</v>
      </c>
      <c r="V76" s="23">
        <f>12-2</f>
        <v>10</v>
      </c>
      <c r="W76" s="10">
        <v>85.75214215574178</v>
      </c>
      <c r="X76" s="23">
        <f>13-4</f>
        <v>9</v>
      </c>
      <c r="Y76" s="10">
        <v>83.53134613344648</v>
      </c>
      <c r="Z76" s="23">
        <f>14-3</f>
        <v>11</v>
      </c>
      <c r="AA76" s="10">
        <v>82.66357308584686</v>
      </c>
      <c r="AB76" s="23">
        <f>9-0</f>
        <v>9</v>
      </c>
      <c r="AC76" s="10">
        <v>90.27767035346895</v>
      </c>
      <c r="AD76" s="23">
        <f>20-19</f>
        <v>1</v>
      </c>
      <c r="AE76" s="10">
        <v>61.59252633136493</v>
      </c>
      <c r="AF76" s="23">
        <f>10-22</f>
        <v>-12</v>
      </c>
      <c r="AG76" s="10">
        <v>68.43905802482232</v>
      </c>
      <c r="AH76" s="23">
        <f>14-27</f>
        <v>-13</v>
      </c>
      <c r="AI76" s="10">
        <v>58.83526682134571</v>
      </c>
      <c r="AJ76" s="23">
        <f>36-11</f>
        <v>25</v>
      </c>
      <c r="AK76" s="10">
        <v>52.7573671590997</v>
      </c>
      <c r="AL76" s="23">
        <f>15-19</f>
        <v>-4</v>
      </c>
      <c r="AM76" s="10">
        <v>65.3354138362411</v>
      </c>
      <c r="AN76" s="23">
        <f>8-23</f>
        <v>-15</v>
      </c>
      <c r="AO76" s="10">
        <v>69.05033414660019</v>
      </c>
      <c r="AP76" s="23">
        <f>11-26</f>
        <v>-15</v>
      </c>
      <c r="AQ76" s="10">
        <v>63.22969837587007</v>
      </c>
      <c r="AR76" s="23">
        <f>28-11</f>
        <v>17</v>
      </c>
      <c r="AS76" s="10">
        <v>60.7954984917627</v>
      </c>
      <c r="AT76" s="25">
        <v>7.123156889784661</v>
      </c>
      <c r="AU76" s="25">
        <v>87.94685477882678</v>
      </c>
      <c r="AV76" s="25">
        <v>4.099925745199958</v>
      </c>
      <c r="AW76" s="24">
        <f aca="true" t="shared" si="57" ref="AW76:AW85">AT76-AV76</f>
        <v>3.0232311445847033</v>
      </c>
      <c r="AX76" s="25">
        <v>0.8300625861886072</v>
      </c>
      <c r="AY76" s="25">
        <v>14.278422273781901</v>
      </c>
      <c r="AZ76" s="25">
        <v>81.03016241299304</v>
      </c>
      <c r="BA76" s="25">
        <v>3.2250580046403714</v>
      </c>
      <c r="BB76" s="24">
        <f aca="true" t="shared" si="58" ref="BB76:BB85">AY76-BA76</f>
        <v>11.053364269141529</v>
      </c>
      <c r="BC76" s="25">
        <v>1.4663573085846866</v>
      </c>
      <c r="BD76" s="25">
        <v>48.31000077345502</v>
      </c>
      <c r="BE76" s="25">
        <v>49.3000232036507</v>
      </c>
      <c r="BF76" s="25">
        <v>2.3319668961249906</v>
      </c>
      <c r="BG76" s="24">
        <f aca="true" t="shared" si="59" ref="BG76:BG85">BD76-BF76</f>
        <v>45.978033877330034</v>
      </c>
      <c r="BH76" s="25">
        <v>0.058009126769278364</v>
      </c>
      <c r="BI76" s="8">
        <v>22.48624581321209</v>
      </c>
      <c r="BJ76" s="8">
        <v>73.50183613349296</v>
      </c>
      <c r="BK76" s="8">
        <v>3.3581738206373335</v>
      </c>
      <c r="BL76" s="24">
        <f aca="true" t="shared" si="60" ref="BL76:BL85">BI76-BK76</f>
        <v>19.128071992574757</v>
      </c>
      <c r="BM76" s="8">
        <v>0.6537442326576183</v>
      </c>
      <c r="BN76" s="108" t="s">
        <v>1</v>
      </c>
      <c r="BO76" s="8"/>
      <c r="BP76" s="24">
        <f>5-57</f>
        <v>-52</v>
      </c>
      <c r="BQ76" s="8">
        <v>38.44717118451461</v>
      </c>
      <c r="BR76" s="22" t="s">
        <v>1</v>
      </c>
      <c r="BS76" s="22" t="s">
        <v>1</v>
      </c>
      <c r="BT76" s="22" t="s">
        <v>1</v>
      </c>
      <c r="BU76" s="22" t="s">
        <v>1</v>
      </c>
      <c r="BV76" s="24">
        <f>8-58</f>
        <v>-50</v>
      </c>
      <c r="BW76" s="8">
        <v>34.63454269907061</v>
      </c>
      <c r="BX76" s="24">
        <f>4-56</f>
        <v>-52</v>
      </c>
      <c r="BY76" s="8">
        <v>39.92774612583803</v>
      </c>
      <c r="BZ76" s="24">
        <f>10-51</f>
        <v>-41</v>
      </c>
      <c r="CA76" s="8">
        <v>39.09794558153194</v>
      </c>
      <c r="CB76" s="20">
        <v>-6.301</v>
      </c>
      <c r="CC76" s="22" t="s">
        <v>1</v>
      </c>
      <c r="CD76" s="22" t="s">
        <v>1</v>
      </c>
      <c r="CE76" s="22" t="s">
        <v>1</v>
      </c>
      <c r="CF76" s="22" t="s">
        <v>1</v>
      </c>
      <c r="CG76" s="22" t="s">
        <v>1</v>
      </c>
      <c r="CH76" s="22" t="s">
        <v>1</v>
      </c>
      <c r="CI76" s="24">
        <f>21-39</f>
        <v>-18</v>
      </c>
      <c r="CJ76" s="8">
        <v>40.742417879379914</v>
      </c>
      <c r="CK76" s="21">
        <v>-2.144</v>
      </c>
      <c r="CL76" s="24">
        <f>6-56</f>
        <v>-50</v>
      </c>
      <c r="CM76" s="8">
        <v>38.459340355455026</v>
      </c>
      <c r="CN76" s="21">
        <v>-7.915</v>
      </c>
      <c r="CO76" s="24">
        <f>15-5</f>
        <v>10</v>
      </c>
      <c r="CP76" s="10">
        <v>80.44648169665088</v>
      </c>
      <c r="CQ76" s="22" t="s">
        <v>1</v>
      </c>
      <c r="CR76" s="22" t="s">
        <v>1</v>
      </c>
      <c r="CS76" s="22" t="s">
        <v>1</v>
      </c>
      <c r="CT76" s="22" t="s">
        <v>1</v>
      </c>
      <c r="CU76" s="24">
        <f>7-1</f>
        <v>6</v>
      </c>
      <c r="CV76" s="10">
        <v>92.2385743239542</v>
      </c>
      <c r="CW76" s="8">
        <f>18-6</f>
        <v>12</v>
      </c>
      <c r="CX76" s="8">
        <v>75.86720602990134</v>
      </c>
      <c r="CY76" s="24">
        <f>18-25</f>
        <v>-7</v>
      </c>
      <c r="CZ76" s="10">
        <v>56.70103040130747</v>
      </c>
      <c r="DA76" s="22" t="s">
        <v>1</v>
      </c>
      <c r="DB76" s="22" t="s">
        <v>1</v>
      </c>
      <c r="DC76" s="22" t="s">
        <v>1</v>
      </c>
      <c r="DD76" s="22" t="s">
        <v>1</v>
      </c>
      <c r="DE76" s="24">
        <f>30-11</f>
        <v>19</v>
      </c>
      <c r="DF76" s="25">
        <v>59.46044150674676</v>
      </c>
      <c r="DG76" s="24">
        <f>13-31</f>
        <v>-18</v>
      </c>
      <c r="DH76" s="8">
        <v>55.62945603965099</v>
      </c>
      <c r="DI76" s="24">
        <f>13-30</f>
        <v>-17</v>
      </c>
      <c r="DJ76" s="25">
        <v>56.53075243555203</v>
      </c>
      <c r="DK76" s="22" t="s">
        <v>1</v>
      </c>
      <c r="DL76" s="22" t="s">
        <v>1</v>
      </c>
      <c r="DM76" s="22" t="s">
        <v>1</v>
      </c>
      <c r="DN76" s="22" t="s">
        <v>1</v>
      </c>
      <c r="DO76" s="24">
        <f>18-13</f>
        <v>5</v>
      </c>
      <c r="DP76" s="25">
        <v>68.22447824419815</v>
      </c>
      <c r="DQ76" s="24">
        <f>12-36</f>
        <v>-24</v>
      </c>
      <c r="DR76" s="8">
        <v>51.989675992072634</v>
      </c>
      <c r="DS76" s="22" t="s">
        <v>1</v>
      </c>
      <c r="DT76" s="22" t="s">
        <v>1</v>
      </c>
      <c r="DU76" s="22" t="s">
        <v>1</v>
      </c>
      <c r="DV76" s="22" t="s">
        <v>1</v>
      </c>
      <c r="DW76" s="22" t="s">
        <v>1</v>
      </c>
      <c r="DX76" s="22" t="s">
        <v>1</v>
      </c>
      <c r="DY76" s="22" t="s">
        <v>1</v>
      </c>
      <c r="DZ76" s="22" t="s">
        <v>1</v>
      </c>
      <c r="EA76" s="22" t="s">
        <v>1</v>
      </c>
      <c r="EB76" s="22" t="s">
        <v>1</v>
      </c>
      <c r="EC76" s="25">
        <v>50.014789928241456</v>
      </c>
      <c r="ED76" s="25">
        <v>46.38705789983019</v>
      </c>
      <c r="EE76" s="25">
        <v>3.234612083919149</v>
      </c>
      <c r="EF76" s="16">
        <f>EC76-EE76</f>
        <v>46.78017784432231</v>
      </c>
      <c r="EG76" s="25">
        <v>0.3635400880092026</v>
      </c>
      <c r="EH76" s="8">
        <v>24.619057955285435</v>
      </c>
      <c r="EI76" s="8">
        <v>68.56124312108173</v>
      </c>
      <c r="EJ76" s="8">
        <v>5.109564728865282</v>
      </c>
      <c r="EK76" s="16">
        <f>EH76-EJ76</f>
        <v>19.509493226420155</v>
      </c>
      <c r="EL76" s="23">
        <v>1.710134194767553</v>
      </c>
      <c r="EM76" s="25">
        <v>14.757020644470522</v>
      </c>
      <c r="EN76" s="25">
        <v>77.17224288363155</v>
      </c>
      <c r="EO76" s="25">
        <v>5.8376734110706545</v>
      </c>
      <c r="EP76" s="24">
        <f t="shared" si="53"/>
        <v>8.919347233399868</v>
      </c>
      <c r="EQ76" s="13">
        <v>2.233063060827268</v>
      </c>
      <c r="ER76" s="120" t="s">
        <v>1</v>
      </c>
    </row>
    <row r="77" spans="1:148" ht="12">
      <c r="A77" s="1" t="s">
        <v>278</v>
      </c>
      <c r="B77" s="24">
        <f>12-51</f>
        <v>-39</v>
      </c>
      <c r="C77" s="8">
        <v>37.35959968254395</v>
      </c>
      <c r="D77" s="23">
        <f>8-53</f>
        <v>-45</v>
      </c>
      <c r="E77" s="8">
        <v>38.316802800466746</v>
      </c>
      <c r="F77" s="23">
        <f>12-53</f>
        <v>-41</v>
      </c>
      <c r="G77" s="8">
        <v>34.91879350348028</v>
      </c>
      <c r="H77" s="23">
        <f>18-45</f>
        <v>-27</v>
      </c>
      <c r="I77" s="8">
        <v>36.98081831541496</v>
      </c>
      <c r="J77" s="23">
        <f>10-53</f>
        <v>-43</v>
      </c>
      <c r="K77" s="8">
        <v>36.62111082713442</v>
      </c>
      <c r="L77" s="20">
        <v>-5.253</v>
      </c>
      <c r="M77" s="23">
        <f>6-54</f>
        <v>-48</v>
      </c>
      <c r="N77" s="8">
        <v>39.64941126551395</v>
      </c>
      <c r="O77" s="20">
        <v>-7.265</v>
      </c>
      <c r="P77" s="23">
        <f>10-56</f>
        <v>-46</v>
      </c>
      <c r="Q77" s="8">
        <v>33.34106728538283</v>
      </c>
      <c r="R77" s="20">
        <v>-6.511</v>
      </c>
      <c r="S77" s="23">
        <f>16-50</f>
        <v>-34</v>
      </c>
      <c r="T77" s="8">
        <v>33.571815298940365</v>
      </c>
      <c r="U77" s="20">
        <v>-1.795</v>
      </c>
      <c r="V77" s="23">
        <f>15-4</f>
        <v>11</v>
      </c>
      <c r="W77" s="10">
        <v>81.4315115481363</v>
      </c>
      <c r="X77" s="23">
        <f>20-5</f>
        <v>15</v>
      </c>
      <c r="Y77" s="10">
        <v>74.20971677097698</v>
      </c>
      <c r="Z77" s="23">
        <f>21-2</f>
        <v>19</v>
      </c>
      <c r="AA77" s="10">
        <v>76.68213457076565</v>
      </c>
      <c r="AB77" s="23">
        <f>4-2</f>
        <v>2</v>
      </c>
      <c r="AC77" s="10">
        <v>93.94191352772836</v>
      </c>
      <c r="AD77" s="23">
        <f>23-30</f>
        <v>-7</v>
      </c>
      <c r="AE77" s="10">
        <v>46.620303735489166</v>
      </c>
      <c r="AF77" s="23">
        <f>11-38</f>
        <v>-27</v>
      </c>
      <c r="AG77" s="10">
        <v>51.65084332237191</v>
      </c>
      <c r="AH77" s="23">
        <f>13-44</f>
        <v>-31</v>
      </c>
      <c r="AI77" s="10">
        <v>42.733178654292345</v>
      </c>
      <c r="AJ77" s="23">
        <f>45-14</f>
        <v>31</v>
      </c>
      <c r="AK77" s="10">
        <v>40.90416892257715</v>
      </c>
      <c r="AL77" s="23">
        <f>17-35</f>
        <v>-18</v>
      </c>
      <c r="AM77" s="10">
        <v>47.81950740506585</v>
      </c>
      <c r="AN77" s="23">
        <f>6-44</f>
        <v>-38</v>
      </c>
      <c r="AO77" s="10">
        <v>49.47358650684205</v>
      </c>
      <c r="AP77" s="23">
        <f>11-46</f>
        <v>-35</v>
      </c>
      <c r="AQ77" s="10">
        <v>42.88167053364269</v>
      </c>
      <c r="AR77" s="23">
        <f>35-18</f>
        <v>17</v>
      </c>
      <c r="AS77" s="10">
        <v>47.46500116018254</v>
      </c>
      <c r="AT77" s="25">
        <v>8.503500583430572</v>
      </c>
      <c r="AU77" s="25">
        <v>80.1487747957993</v>
      </c>
      <c r="AV77" s="25">
        <v>8.301951840458258</v>
      </c>
      <c r="AW77" s="24">
        <f t="shared" si="57"/>
        <v>0.20154874297231373</v>
      </c>
      <c r="AX77" s="25">
        <v>3.04577278031187</v>
      </c>
      <c r="AY77" s="25">
        <v>18.06032482598608</v>
      </c>
      <c r="AZ77" s="25">
        <v>71.4106728538283</v>
      </c>
      <c r="BA77" s="25">
        <v>8.742459396751741</v>
      </c>
      <c r="BB77" s="24">
        <f t="shared" si="58"/>
        <v>9.317865429234338</v>
      </c>
      <c r="BC77" s="25">
        <v>1.7865429234338748</v>
      </c>
      <c r="BD77" s="25">
        <v>46.26034496094052</v>
      </c>
      <c r="BE77" s="25">
        <v>53.016474592002474</v>
      </c>
      <c r="BF77" s="25">
        <v>0.34225384793874236</v>
      </c>
      <c r="BG77" s="24">
        <f t="shared" si="59"/>
        <v>45.91809111300178</v>
      </c>
      <c r="BH77" s="25">
        <v>0.38092659911826127</v>
      </c>
      <c r="BI77" s="8">
        <v>23.02161660456545</v>
      </c>
      <c r="BJ77" s="8">
        <v>69.44485546333786</v>
      </c>
      <c r="BK77" s="8">
        <v>5.597180559852571</v>
      </c>
      <c r="BL77" s="24">
        <f t="shared" si="60"/>
        <v>17.424436044712877</v>
      </c>
      <c r="BM77" s="8">
        <v>1.9363473722441182</v>
      </c>
      <c r="BN77" s="108" t="s">
        <v>1</v>
      </c>
      <c r="BO77" s="8"/>
      <c r="BP77" s="24">
        <f>12-46</f>
        <v>-34</v>
      </c>
      <c r="BQ77" s="8">
        <v>42.10973071668433</v>
      </c>
      <c r="BR77" s="22" t="s">
        <v>1</v>
      </c>
      <c r="BS77" s="22" t="s">
        <v>1</v>
      </c>
      <c r="BT77" s="22" t="s">
        <v>1</v>
      </c>
      <c r="BU77" s="22" t="s">
        <v>1</v>
      </c>
      <c r="BV77" s="24">
        <f>22-35</f>
        <v>-13</v>
      </c>
      <c r="BW77" s="8">
        <v>43.56017309693794</v>
      </c>
      <c r="BX77" s="24">
        <f>8-51</f>
        <v>-43</v>
      </c>
      <c r="BY77" s="8">
        <v>41.546473989668904</v>
      </c>
      <c r="BZ77" s="24">
        <f>8-58</f>
        <v>-50</v>
      </c>
      <c r="CA77" s="8">
        <v>34.08649242201764</v>
      </c>
      <c r="CB77" s="20">
        <v>-7.455</v>
      </c>
      <c r="CC77" s="22" t="s">
        <v>1</v>
      </c>
      <c r="CD77" s="22" t="s">
        <v>1</v>
      </c>
      <c r="CE77" s="22" t="s">
        <v>1</v>
      </c>
      <c r="CF77" s="22" t="s">
        <v>1</v>
      </c>
      <c r="CG77" s="22" t="s">
        <v>1</v>
      </c>
      <c r="CI77" s="24">
        <f>17-50</f>
        <v>-33</v>
      </c>
      <c r="CJ77" s="8">
        <v>33.301440648565745</v>
      </c>
      <c r="CK77" s="21">
        <v>-4.267</v>
      </c>
      <c r="CL77" s="24">
        <f>5-61</f>
        <v>-56</v>
      </c>
      <c r="CM77" s="8">
        <v>34.39135506149379</v>
      </c>
      <c r="CN77" s="21">
        <v>-8.693</v>
      </c>
      <c r="CO77" s="24">
        <f>21-6</f>
        <v>15</v>
      </c>
      <c r="CP77" s="10">
        <v>73.20512263946168</v>
      </c>
      <c r="CQ77" s="22" t="s">
        <v>1</v>
      </c>
      <c r="CR77" s="22" t="s">
        <v>1</v>
      </c>
      <c r="CS77" s="22" t="s">
        <v>1</v>
      </c>
      <c r="CT77" s="22" t="s">
        <v>1</v>
      </c>
      <c r="CU77" s="24">
        <f>12-3</f>
        <v>9</v>
      </c>
      <c r="CV77" s="10">
        <v>85.02035897529534</v>
      </c>
      <c r="CW77" s="8">
        <f>25-7</f>
        <v>18</v>
      </c>
      <c r="CX77" s="8">
        <v>68.61685947365996</v>
      </c>
      <c r="CY77" s="24">
        <f>22-32</f>
        <v>-10</v>
      </c>
      <c r="CZ77" s="10">
        <v>46.070149005988334</v>
      </c>
      <c r="DA77" s="22" t="s">
        <v>1</v>
      </c>
      <c r="DB77" s="22" t="s">
        <v>1</v>
      </c>
      <c r="DC77" s="22" t="s">
        <v>1</v>
      </c>
      <c r="DD77" s="22" t="s">
        <v>1</v>
      </c>
      <c r="DE77" s="24">
        <f>33-15</f>
        <v>18</v>
      </c>
      <c r="DF77" s="25">
        <v>51.79852831084412</v>
      </c>
      <c r="DG77" s="24">
        <f>18-38</f>
        <v>-20</v>
      </c>
      <c r="DH77" s="8">
        <v>43.84562204629495</v>
      </c>
      <c r="DI77" s="24">
        <f>14-36</f>
        <v>-22</v>
      </c>
      <c r="DJ77" s="25">
        <v>50.47715113829339</v>
      </c>
      <c r="DK77" s="22" t="s">
        <v>1</v>
      </c>
      <c r="DL77" s="22" t="s">
        <v>1</v>
      </c>
      <c r="DM77" s="22" t="s">
        <v>1</v>
      </c>
      <c r="DN77" s="22" t="s">
        <v>1</v>
      </c>
      <c r="DO77" s="24">
        <f>22-19</f>
        <v>3</v>
      </c>
      <c r="DP77" s="25">
        <v>58.741760549235856</v>
      </c>
      <c r="DQ77" s="24">
        <f>11-42</f>
        <v>-31</v>
      </c>
      <c r="DR77" s="8">
        <v>47.26771868496531</v>
      </c>
      <c r="DS77" s="22" t="s">
        <v>1</v>
      </c>
      <c r="DT77" s="22" t="s">
        <v>1</v>
      </c>
      <c r="DU77" s="22" t="s">
        <v>1</v>
      </c>
      <c r="DV77" s="22" t="s">
        <v>1</v>
      </c>
      <c r="DW77" s="22" t="s">
        <v>1</v>
      </c>
      <c r="DX77" s="22" t="s">
        <v>1</v>
      </c>
      <c r="DY77" s="22" t="s">
        <v>1</v>
      </c>
      <c r="DZ77" s="22" t="s">
        <v>1</v>
      </c>
      <c r="EA77" s="22" t="s">
        <v>1</v>
      </c>
      <c r="EB77" s="22" t="s">
        <v>1</v>
      </c>
      <c r="EC77" s="25">
        <v>49.003597056621686</v>
      </c>
      <c r="ED77" s="25">
        <v>47.006043785491265</v>
      </c>
      <c r="EE77" s="25">
        <v>3.796264173681231</v>
      </c>
      <c r="EF77" s="16">
        <f>EC77-EE77</f>
        <v>45.207332882940456</v>
      </c>
      <c r="EG77" s="25">
        <v>0.1940949842058174</v>
      </c>
      <c r="EH77" s="8">
        <v>23.189162272245557</v>
      </c>
      <c r="EI77" s="8">
        <v>67.12930451103819</v>
      </c>
      <c r="EJ77" s="8">
        <v>6.717756866149976</v>
      </c>
      <c r="EK77" s="16">
        <f>EH77-EJ77</f>
        <v>16.47140540609558</v>
      </c>
      <c r="EL77" s="23">
        <v>2.963776350566274</v>
      </c>
      <c r="EM77" s="25">
        <v>13.164528240345174</v>
      </c>
      <c r="EN77" s="25">
        <v>74.94385966156257</v>
      </c>
      <c r="EO77" s="25">
        <v>7.85227308986354</v>
      </c>
      <c r="EP77" s="24">
        <f t="shared" si="53"/>
        <v>5.312255150481634</v>
      </c>
      <c r="EQ77" s="13">
        <v>4.039339008228716</v>
      </c>
      <c r="ER77" s="120" t="s">
        <v>1</v>
      </c>
    </row>
    <row r="78" spans="1:148" ht="12">
      <c r="A78" s="1" t="s">
        <v>279</v>
      </c>
      <c r="B78" s="24">
        <f>18-53</f>
        <v>-35</v>
      </c>
      <c r="C78" s="8">
        <v>29.836866690621633</v>
      </c>
      <c r="D78" s="23">
        <f>10-59</f>
        <v>-49</v>
      </c>
      <c r="E78" s="8">
        <v>31.584342829090804</v>
      </c>
      <c r="F78" s="23">
        <f>13-57</f>
        <v>-44</v>
      </c>
      <c r="G78" s="8">
        <v>29.27615270203272</v>
      </c>
      <c r="H78" s="23">
        <f>30-42</f>
        <v>-12</v>
      </c>
      <c r="I78" s="8">
        <v>27.63017638422397</v>
      </c>
      <c r="J78" s="23">
        <f>17-61</f>
        <v>-44</v>
      </c>
      <c r="K78" s="8">
        <v>22.207689543657924</v>
      </c>
      <c r="L78" s="20">
        <v>-6.16</v>
      </c>
      <c r="M78" s="23">
        <f>9-67</f>
        <v>-58</v>
      </c>
      <c r="N78" s="8">
        <v>24.354957478450455</v>
      </c>
      <c r="O78" s="20">
        <v>-8.448</v>
      </c>
      <c r="P78" s="23">
        <f>12-64</f>
        <v>-52</v>
      </c>
      <c r="Q78" s="8">
        <v>24.308378780366883</v>
      </c>
      <c r="R78" s="20">
        <v>-7.085</v>
      </c>
      <c r="S78" s="23">
        <f>29-53</f>
        <v>-24</v>
      </c>
      <c r="T78" s="8">
        <v>18.364473763600895</v>
      </c>
      <c r="U78" s="20">
        <v>-2.599</v>
      </c>
      <c r="V78" s="23">
        <f>17-7</f>
        <v>10</v>
      </c>
      <c r="W78" s="10">
        <v>76.67696730147323</v>
      </c>
      <c r="X78" s="23">
        <f>21-8</f>
        <v>13</v>
      </c>
      <c r="Y78" s="10">
        <v>70.34464834895104</v>
      </c>
      <c r="Z78" s="23">
        <f>20-9</f>
        <v>11</v>
      </c>
      <c r="AA78" s="10">
        <v>71.36341100644522</v>
      </c>
      <c r="AB78" s="23">
        <f>9-4</f>
        <v>5</v>
      </c>
      <c r="AC78" s="10">
        <v>87.65310432211741</v>
      </c>
      <c r="AD78" s="23">
        <f>30-29</f>
        <v>1</v>
      </c>
      <c r="AE78" s="10">
        <v>40.61228889687388</v>
      </c>
      <c r="AF78" s="23">
        <f>22-36</f>
        <v>-14</v>
      </c>
      <c r="AG78" s="10">
        <v>41.33470018336967</v>
      </c>
      <c r="AH78" s="23">
        <f>23-39</f>
        <v>-16</v>
      </c>
      <c r="AI78" s="10">
        <v>38.50272682201289</v>
      </c>
      <c r="AJ78" s="23">
        <f>45-15</f>
        <v>30</v>
      </c>
      <c r="AK78" s="10">
        <v>40.46177671406448</v>
      </c>
      <c r="AL78" s="23">
        <f>22-36</f>
        <v>-14</v>
      </c>
      <c r="AM78" s="10">
        <v>42.19619116061804</v>
      </c>
      <c r="AN78" s="23">
        <f>17-45</f>
        <v>-28</v>
      </c>
      <c r="AO78" s="10">
        <v>38.3083786944657</v>
      </c>
      <c r="AP78" s="23">
        <f>15-46</f>
        <v>-31</v>
      </c>
      <c r="AQ78" s="10">
        <v>38.30937035200793</v>
      </c>
      <c r="AR78" s="23">
        <f>31-20</f>
        <v>11</v>
      </c>
      <c r="AS78" s="10">
        <v>49.18847167192937</v>
      </c>
      <c r="AT78" s="25">
        <v>20.024834317561616</v>
      </c>
      <c r="AU78" s="25">
        <v>68.96287847066807</v>
      </c>
      <c r="AV78" s="25">
        <v>7.36943935084249</v>
      </c>
      <c r="AW78" s="24">
        <f t="shared" si="57"/>
        <v>12.655394966719125</v>
      </c>
      <c r="AX78" s="25">
        <v>3.6428478609278216</v>
      </c>
      <c r="AY78" s="25">
        <v>20.644521566683196</v>
      </c>
      <c r="AZ78" s="25">
        <v>69.32573128408528</v>
      </c>
      <c r="BA78" s="25">
        <v>8.35399107585523</v>
      </c>
      <c r="BB78" s="24">
        <f t="shared" si="58"/>
        <v>12.290530490827965</v>
      </c>
      <c r="BC78" s="25">
        <v>1.6757560733763013</v>
      </c>
      <c r="BD78" s="25">
        <v>55.76516964662819</v>
      </c>
      <c r="BE78" s="25">
        <v>41.55387059793649</v>
      </c>
      <c r="BF78" s="25">
        <v>1.7779207980531366</v>
      </c>
      <c r="BG78" s="24">
        <f t="shared" si="59"/>
        <v>53.98724884857505</v>
      </c>
      <c r="BH78" s="25">
        <v>0.9030389573821925</v>
      </c>
      <c r="BI78" s="8">
        <v>32.88537549407115</v>
      </c>
      <c r="BJ78" s="8">
        <v>59.221703197987786</v>
      </c>
      <c r="BK78" s="8">
        <v>5.5141933165648584</v>
      </c>
      <c r="BL78" s="24">
        <f t="shared" si="60"/>
        <v>27.37118217750629</v>
      </c>
      <c r="BM78" s="8">
        <v>2.3787279913762127</v>
      </c>
      <c r="BN78" s="108" t="s">
        <v>1</v>
      </c>
      <c r="BO78" s="8"/>
      <c r="BP78" s="23">
        <f>13-55</f>
        <v>-42</v>
      </c>
      <c r="BQ78" s="8">
        <v>31.490545078461164</v>
      </c>
      <c r="BR78" s="22" t="s">
        <v>1</v>
      </c>
      <c r="BS78" s="22" t="s">
        <v>1</v>
      </c>
      <c r="BT78" s="22" t="s">
        <v>1</v>
      </c>
      <c r="BU78" s="22" t="s">
        <v>1</v>
      </c>
      <c r="BV78" s="24">
        <f>23-46</f>
        <v>-23</v>
      </c>
      <c r="BW78" s="8">
        <v>31.85074953895594</v>
      </c>
      <c r="BX78" s="24">
        <f>10-59</f>
        <v>-49</v>
      </c>
      <c r="BY78" s="8">
        <v>31.35066528162348</v>
      </c>
      <c r="BZ78" s="24">
        <f>10-65</f>
        <v>-55</v>
      </c>
      <c r="CA78" s="8">
        <v>25.41860851134463</v>
      </c>
      <c r="CB78" s="20">
        <v>-8.32</v>
      </c>
      <c r="CC78" s="22" t="s">
        <v>1</v>
      </c>
      <c r="CD78" s="22" t="s">
        <v>1</v>
      </c>
      <c r="CE78" s="22" t="s">
        <v>1</v>
      </c>
      <c r="CF78" s="22" t="s">
        <v>1</v>
      </c>
      <c r="CG78" s="22" t="s">
        <v>1</v>
      </c>
      <c r="CH78" s="22" t="s">
        <v>1</v>
      </c>
      <c r="CI78" s="24">
        <f>24-51</f>
        <v>-27</v>
      </c>
      <c r="CJ78" s="8">
        <v>25.020541567002024</v>
      </c>
      <c r="CK78" s="21">
        <v>-3.035</v>
      </c>
      <c r="CL78" s="24">
        <f>4-70</f>
        <v>-66</v>
      </c>
      <c r="CM78" s="8">
        <v>25.573191614579827</v>
      </c>
      <c r="CN78" s="21">
        <v>-10.373</v>
      </c>
      <c r="CO78" s="24">
        <f>17-6</f>
        <v>11</v>
      </c>
      <c r="CP78" s="10">
        <v>76.13110484046017</v>
      </c>
      <c r="CQ78" s="22" t="s">
        <v>1</v>
      </c>
      <c r="CR78" s="22" t="s">
        <v>1</v>
      </c>
      <c r="CS78" s="22" t="s">
        <v>1</v>
      </c>
      <c r="CT78" s="22" t="s">
        <v>1</v>
      </c>
      <c r="CU78" s="24">
        <f>6-6</f>
        <v>0</v>
      </c>
      <c r="CV78" s="10">
        <v>87.98856975916154</v>
      </c>
      <c r="CW78" s="24">
        <f>22-7</f>
        <v>15</v>
      </c>
      <c r="CX78" s="10">
        <v>71.5264428616505</v>
      </c>
      <c r="CY78" s="24">
        <f>25-37</f>
        <v>-12</v>
      </c>
      <c r="CZ78" s="10">
        <v>37.21738020148367</v>
      </c>
      <c r="DA78" s="22" t="s">
        <v>1</v>
      </c>
      <c r="DB78" s="22" t="s">
        <v>1</v>
      </c>
      <c r="DC78" s="22" t="s">
        <v>1</v>
      </c>
      <c r="DD78" s="22" t="s">
        <v>1</v>
      </c>
      <c r="DE78" s="24">
        <f>46-15</f>
        <v>31</v>
      </c>
      <c r="DF78" s="25">
        <v>39.90906933007103</v>
      </c>
      <c r="DG78" s="24">
        <f>18-46</f>
        <v>-28</v>
      </c>
      <c r="DH78" s="8">
        <v>36.172104615668246</v>
      </c>
      <c r="DI78" s="24">
        <f>17-42</f>
        <v>-25</v>
      </c>
      <c r="DJ78" s="25">
        <v>41.084334580370026</v>
      </c>
      <c r="DK78" s="22" t="s">
        <v>1</v>
      </c>
      <c r="DL78" s="22" t="s">
        <v>1</v>
      </c>
      <c r="DM78" s="22" t="s">
        <v>1</v>
      </c>
      <c r="DN78" s="22" t="s">
        <v>1</v>
      </c>
      <c r="DO78" s="24">
        <f>31-17</f>
        <v>14</v>
      </c>
      <c r="DP78" s="25">
        <v>51.87393868570489</v>
      </c>
      <c r="DQ78" s="24">
        <f>12-52</f>
        <v>-40</v>
      </c>
      <c r="DR78" s="8">
        <v>36.89435973069655</v>
      </c>
      <c r="DS78" s="22" t="s">
        <v>1</v>
      </c>
      <c r="DT78" s="22" t="s">
        <v>1</v>
      </c>
      <c r="DU78" s="22" t="s">
        <v>1</v>
      </c>
      <c r="DV78" s="22" t="s">
        <v>1</v>
      </c>
      <c r="DW78" s="22" t="s">
        <v>1</v>
      </c>
      <c r="DX78" s="22" t="s">
        <v>1</v>
      </c>
      <c r="DY78" s="22" t="s">
        <v>1</v>
      </c>
      <c r="DZ78" s="22" t="s">
        <v>1</v>
      </c>
      <c r="EA78" s="22" t="s">
        <v>1</v>
      </c>
      <c r="EB78" s="22" t="s">
        <v>1</v>
      </c>
      <c r="EC78" s="25">
        <v>51.941315025471546</v>
      </c>
      <c r="ED78" s="25">
        <v>43.91622692497307</v>
      </c>
      <c r="EE78" s="25">
        <v>3.3949276023882993</v>
      </c>
      <c r="EF78" s="16">
        <f>EC78-EE78</f>
        <v>48.546387423083246</v>
      </c>
      <c r="EG78" s="25">
        <v>0.7475304471670897</v>
      </c>
      <c r="EH78" s="8">
        <v>26.204267163778905</v>
      </c>
      <c r="EI78" s="8">
        <v>61.317534697838326</v>
      </c>
      <c r="EJ78" s="8">
        <v>8.961452521099606</v>
      </c>
      <c r="EK78" s="16">
        <f>EH78-EJ78</f>
        <v>17.2428146426793</v>
      </c>
      <c r="EL78" s="23">
        <v>3.5167456172831626</v>
      </c>
      <c r="EM78" s="25">
        <v>16.20968513903021</v>
      </c>
      <c r="EN78" s="25">
        <v>68.07506177741695</v>
      </c>
      <c r="EO78" s="25">
        <v>11.12312584866394</v>
      </c>
      <c r="EP78" s="24">
        <f t="shared" si="53"/>
        <v>5.086559290366269</v>
      </c>
      <c r="EQ78" s="13">
        <v>4.592127234888907</v>
      </c>
      <c r="ER78" s="120" t="s">
        <v>1</v>
      </c>
    </row>
    <row r="79" spans="1:148" ht="12">
      <c r="A79" s="1" t="s">
        <v>284</v>
      </c>
      <c r="B79" s="24">
        <f>25-46</f>
        <v>-21</v>
      </c>
      <c r="C79" s="8">
        <v>29.38196191160618</v>
      </c>
      <c r="D79" s="23">
        <f>11-51</f>
        <v>-40</v>
      </c>
      <c r="E79" s="8">
        <v>37.60233327076625</v>
      </c>
      <c r="F79" s="23">
        <f>23-53</f>
        <v>-30</v>
      </c>
      <c r="G79" s="8">
        <v>23.306891422905306</v>
      </c>
      <c r="H79" s="23">
        <f>44-35</f>
        <v>9</v>
      </c>
      <c r="I79" s="8">
        <v>20.39580861205527</v>
      </c>
      <c r="J79" s="23">
        <f>9-64</f>
        <v>-55</v>
      </c>
      <c r="K79" s="8">
        <v>27.181458857348183</v>
      </c>
      <c r="L79" s="20">
        <v>-7.354</v>
      </c>
      <c r="M79" s="23">
        <f>2-67</f>
        <v>-65</v>
      </c>
      <c r="N79" s="8">
        <v>30.590970126626143</v>
      </c>
      <c r="O79" s="20">
        <v>-10.495</v>
      </c>
      <c r="P79" s="23">
        <f>6-67</f>
        <v>-61</v>
      </c>
      <c r="Q79" s="8">
        <v>26.2816063460585</v>
      </c>
      <c r="R79" s="20">
        <v>-9.743</v>
      </c>
      <c r="S79" s="23">
        <f>19-58</f>
        <v>-39</v>
      </c>
      <c r="T79" s="8">
        <v>22.797208423000342</v>
      </c>
      <c r="U79" s="20">
        <v>-2.01</v>
      </c>
      <c r="V79" s="23">
        <f>15-6</f>
        <v>9</v>
      </c>
      <c r="W79" s="10">
        <v>79.3805246137262</v>
      </c>
      <c r="X79" s="23">
        <f>20-9</f>
        <v>11</v>
      </c>
      <c r="Y79" s="10">
        <v>70.7157192567031</v>
      </c>
      <c r="Z79" s="23">
        <f>22-7</f>
        <v>15</v>
      </c>
      <c r="AA79" s="10">
        <v>70.51065939514129</v>
      </c>
      <c r="AB79" s="23">
        <f>5-0</f>
        <v>5</v>
      </c>
      <c r="AC79" s="10">
        <v>95.04836990406467</v>
      </c>
      <c r="AD79" s="23">
        <f>10-51</f>
        <v>-41</v>
      </c>
      <c r="AE79" s="10">
        <v>39.32806324110672</v>
      </c>
      <c r="AF79" s="23">
        <f>6-57</f>
        <v>-51</v>
      </c>
      <c r="AG79" s="10">
        <v>37.01612786785833</v>
      </c>
      <c r="AH79" s="23">
        <f>5-53</f>
        <v>-48</v>
      </c>
      <c r="AI79" s="10">
        <v>42.563212692117006</v>
      </c>
      <c r="AJ79" s="23">
        <f>16-42</f>
        <v>-26</v>
      </c>
      <c r="AK79" s="10">
        <v>41.23609742362382</v>
      </c>
      <c r="AL79" s="23">
        <f>7-50</f>
        <v>-43</v>
      </c>
      <c r="AM79" s="10">
        <v>43.57312252964427</v>
      </c>
      <c r="AN79" s="23">
        <f>4-59</f>
        <v>-55</v>
      </c>
      <c r="AO79" s="10">
        <v>36.78511096030841</v>
      </c>
      <c r="AP79" s="23">
        <f>4-55</f>
        <v>-51</v>
      </c>
      <c r="AQ79" s="10">
        <v>41.179970252850765</v>
      </c>
      <c r="AR79" s="23">
        <f>11-35</f>
        <v>-24</v>
      </c>
      <c r="AS79" s="10">
        <v>53.99931618430844</v>
      </c>
      <c r="AT79" s="25">
        <v>17.459102788085303</v>
      </c>
      <c r="AU79" s="25">
        <v>69.37870890425793</v>
      </c>
      <c r="AV79" s="25">
        <v>10.483836035749865</v>
      </c>
      <c r="AW79" s="24">
        <f t="shared" si="57"/>
        <v>6.975266752335438</v>
      </c>
      <c r="AX79" s="25">
        <v>2.6783522719069004</v>
      </c>
      <c r="AY79" s="25">
        <v>23.098661378284582</v>
      </c>
      <c r="AZ79" s="25">
        <v>67.18393653941497</v>
      </c>
      <c r="BA79" s="25">
        <v>9.22657411998017</v>
      </c>
      <c r="BB79" s="24">
        <f t="shared" si="58"/>
        <v>13.872087258304413</v>
      </c>
      <c r="BC79" s="25">
        <v>0.49082796232027764</v>
      </c>
      <c r="BD79" s="25">
        <v>58.490376299752626</v>
      </c>
      <c r="BE79" s="25">
        <v>37.764727177651295</v>
      </c>
      <c r="BF79" s="25">
        <v>3.5719313770841294</v>
      </c>
      <c r="BG79" s="24">
        <f t="shared" si="59"/>
        <v>54.9184449226685</v>
      </c>
      <c r="BH79" s="25">
        <v>0.1729651455119567</v>
      </c>
      <c r="BI79" s="8">
        <v>32.937836866690624</v>
      </c>
      <c r="BJ79" s="8">
        <v>57.76428314768236</v>
      </c>
      <c r="BK79" s="8">
        <v>7.831836148041682</v>
      </c>
      <c r="BL79" s="24">
        <f t="shared" si="60"/>
        <v>25.106000718648943</v>
      </c>
      <c r="BM79" s="8">
        <v>1.4660438375853395</v>
      </c>
      <c r="BN79" s="108" t="s">
        <v>1</v>
      </c>
      <c r="BO79" s="8"/>
      <c r="BP79" s="24">
        <f>23-49</f>
        <v>-26</v>
      </c>
      <c r="BQ79" s="8">
        <v>27.770579297488478</v>
      </c>
      <c r="BR79" s="22" t="s">
        <v>1</v>
      </c>
      <c r="BS79" s="22" t="s">
        <v>1</v>
      </c>
      <c r="BT79" s="22" t="s">
        <v>1</v>
      </c>
      <c r="BU79" s="22" t="s">
        <v>1</v>
      </c>
      <c r="BV79" s="24">
        <f>44-33</f>
        <v>11</v>
      </c>
      <c r="BW79" s="8">
        <v>22.70272244234667</v>
      </c>
      <c r="BX79" s="24">
        <f>15-55</f>
        <v>-40</v>
      </c>
      <c r="BY79" s="8">
        <v>29.738602642690765</v>
      </c>
      <c r="BZ79" s="24">
        <f>13-66</f>
        <v>-53</v>
      </c>
      <c r="CA79" s="8">
        <v>20.14729503696421</v>
      </c>
      <c r="CB79" s="20">
        <v>-8.374</v>
      </c>
      <c r="CC79" s="22" t="s">
        <v>1</v>
      </c>
      <c r="CD79" s="22" t="s">
        <v>1</v>
      </c>
      <c r="CE79" s="22" t="s">
        <v>1</v>
      </c>
      <c r="CF79" s="22" t="s">
        <v>1</v>
      </c>
      <c r="CG79" s="22" t="s">
        <v>1</v>
      </c>
      <c r="CH79" s="22" t="s">
        <v>1</v>
      </c>
      <c r="CI79" s="24">
        <f>26-54</f>
        <v>-28</v>
      </c>
      <c r="CJ79" s="8">
        <v>19.74583234429492</v>
      </c>
      <c r="CK79" s="21">
        <v>-2.642</v>
      </c>
      <c r="CL79" s="24">
        <f>8-71</f>
        <v>-63</v>
      </c>
      <c r="CM79" s="8">
        <v>20.303196826218443</v>
      </c>
      <c r="CN79" s="21">
        <v>-10.6</v>
      </c>
      <c r="CO79" s="24">
        <f>19-10</f>
        <v>9</v>
      </c>
      <c r="CP79" s="10">
        <v>71.11428899756126</v>
      </c>
      <c r="CQ79" s="22" t="s">
        <v>1</v>
      </c>
      <c r="CR79" s="22" t="s">
        <v>1</v>
      </c>
      <c r="CS79" s="22" t="s">
        <v>1</v>
      </c>
      <c r="CT79" s="22" t="s">
        <v>1</v>
      </c>
      <c r="CU79" s="24">
        <f>8-4</f>
        <v>4</v>
      </c>
      <c r="CV79" s="10">
        <v>87.5443241367977</v>
      </c>
      <c r="CW79" s="8">
        <f>23-12</f>
        <v>11</v>
      </c>
      <c r="CX79" s="8">
        <v>64.73394053059445</v>
      </c>
      <c r="CY79" s="24">
        <f>11-49</f>
        <v>-38</v>
      </c>
      <c r="CZ79" s="10">
        <v>40.47426550390071</v>
      </c>
      <c r="DA79" s="22" t="s">
        <v>1</v>
      </c>
      <c r="DB79" s="22" t="s">
        <v>1</v>
      </c>
      <c r="DC79" s="22" t="s">
        <v>1</v>
      </c>
      <c r="DD79" s="22" t="s">
        <v>1</v>
      </c>
      <c r="DE79" s="24">
        <f>18-34</f>
        <v>-16</v>
      </c>
      <c r="DF79" s="25">
        <v>47.30640714298757</v>
      </c>
      <c r="DG79" s="24">
        <f>8-54</f>
        <v>-46</v>
      </c>
      <c r="DH79" s="8">
        <v>37.82110961813225</v>
      </c>
      <c r="DI79" s="24">
        <f>8-49</f>
        <v>-41</v>
      </c>
      <c r="DJ79" s="25">
        <v>42.84227326702333</v>
      </c>
      <c r="DK79" s="22" t="s">
        <v>1</v>
      </c>
      <c r="DL79" s="22" t="s">
        <v>1</v>
      </c>
      <c r="DM79" s="22" t="s">
        <v>1</v>
      </c>
      <c r="DN79" s="22" t="s">
        <v>1</v>
      </c>
      <c r="DO79" s="24">
        <f>9-31</f>
        <v>-22</v>
      </c>
      <c r="DP79" s="25">
        <v>59.57145726441105</v>
      </c>
      <c r="DQ79" s="24">
        <f>8-56</f>
        <v>-48</v>
      </c>
      <c r="DR79" s="8">
        <v>36.34575499625968</v>
      </c>
      <c r="DS79" s="22" t="s">
        <v>1</v>
      </c>
      <c r="DT79" s="22" t="s">
        <v>1</v>
      </c>
      <c r="DU79" s="22" t="s">
        <v>1</v>
      </c>
      <c r="DV79" s="22" t="s">
        <v>1</v>
      </c>
      <c r="DW79" s="22" t="s">
        <v>1</v>
      </c>
      <c r="DX79" s="22" t="s">
        <v>1</v>
      </c>
      <c r="DY79" s="22" t="s">
        <v>1</v>
      </c>
      <c r="DZ79" s="22" t="s">
        <v>1</v>
      </c>
      <c r="EA79" s="22" t="s">
        <v>1</v>
      </c>
      <c r="EB79" s="22" t="s">
        <v>1</v>
      </c>
      <c r="EC79" s="25">
        <v>56.94670148081874</v>
      </c>
      <c r="ED79" s="25">
        <v>35.36399656727591</v>
      </c>
      <c r="EE79" s="25">
        <v>6.01073639235306</v>
      </c>
      <c r="EF79" s="16">
        <f>EC79-EE79</f>
        <v>50.93596508846568</v>
      </c>
      <c r="EG79" s="25">
        <v>1.678565559552285</v>
      </c>
      <c r="EH79" s="8">
        <v>28.86487314700137</v>
      </c>
      <c r="EI79" s="8">
        <v>55.71577778061517</v>
      </c>
      <c r="EJ79" s="8">
        <v>12.5035815064033</v>
      </c>
      <c r="EK79" s="16">
        <f>EH79-EJ79</f>
        <v>16.36129164059807</v>
      </c>
      <c r="EL79" s="23">
        <v>2.915767565980158</v>
      </c>
      <c r="EM79" s="25">
        <v>17.959732114684414</v>
      </c>
      <c r="EN79" s="25">
        <v>63.61907530640535</v>
      </c>
      <c r="EO79" s="25">
        <v>15.024976866706139</v>
      </c>
      <c r="EP79" s="24">
        <f t="shared" si="53"/>
        <v>2.9347552479782752</v>
      </c>
      <c r="EQ79" s="13">
        <v>3.3962157122040972</v>
      </c>
      <c r="ER79" s="120" t="s">
        <v>1</v>
      </c>
    </row>
    <row r="80" spans="1:148" ht="12">
      <c r="A80" s="1" t="s">
        <v>195</v>
      </c>
      <c r="B80" s="24">
        <f aca="true" t="shared" si="61" ref="B80:AV80">AVERAGE(B76:B79)</f>
        <v>-37</v>
      </c>
      <c r="C80" s="13">
        <f t="shared" si="61"/>
        <v>33.4296920175886</v>
      </c>
      <c r="D80" s="24">
        <f t="shared" si="61"/>
        <v>-47</v>
      </c>
      <c r="E80" s="13">
        <f t="shared" si="61"/>
        <v>37.48966520614597</v>
      </c>
      <c r="F80" s="24">
        <f t="shared" si="61"/>
        <v>-41</v>
      </c>
      <c r="G80" s="13">
        <f t="shared" si="61"/>
        <v>31.19448492914634</v>
      </c>
      <c r="H80" s="24">
        <f t="shared" si="61"/>
        <v>-20.5</v>
      </c>
      <c r="I80" s="13">
        <f t="shared" si="61"/>
        <v>28.585021270339823</v>
      </c>
      <c r="J80" s="24">
        <f t="shared" si="61"/>
        <v>-40.75</v>
      </c>
      <c r="K80" s="13">
        <f t="shared" si="61"/>
        <v>32.87885783510847</v>
      </c>
      <c r="L80" s="21">
        <f t="shared" si="61"/>
        <v>-5.70975</v>
      </c>
      <c r="M80" s="24">
        <f t="shared" si="61"/>
        <v>-52.25</v>
      </c>
      <c r="N80" s="13">
        <f t="shared" si="61"/>
        <v>37.6982406792473</v>
      </c>
      <c r="O80" s="21">
        <f t="shared" si="61"/>
        <v>-8.12525</v>
      </c>
      <c r="P80" s="24">
        <f t="shared" si="61"/>
        <v>-49.75</v>
      </c>
      <c r="Q80" s="13">
        <f t="shared" si="61"/>
        <v>31.668377952139984</v>
      </c>
      <c r="R80" s="21">
        <f t="shared" si="61"/>
        <v>-7.366250000000001</v>
      </c>
      <c r="S80" s="24">
        <f t="shared" si="61"/>
        <v>-21.5</v>
      </c>
      <c r="T80" s="13">
        <f t="shared" si="61"/>
        <v>26.44934621762254</v>
      </c>
      <c r="U80" s="21">
        <f t="shared" si="61"/>
        <v>-1.5955</v>
      </c>
      <c r="V80" s="24">
        <f t="shared" si="61"/>
        <v>10</v>
      </c>
      <c r="W80" s="13">
        <f t="shared" si="61"/>
        <v>80.81028640476937</v>
      </c>
      <c r="X80" s="24">
        <f t="shared" si="61"/>
        <v>12</v>
      </c>
      <c r="Y80" s="13">
        <f t="shared" si="61"/>
        <v>74.7003576275194</v>
      </c>
      <c r="Z80" s="24">
        <f t="shared" si="61"/>
        <v>14</v>
      </c>
      <c r="AA80" s="13">
        <f t="shared" si="61"/>
        <v>75.30494451454976</v>
      </c>
      <c r="AB80" s="24">
        <f t="shared" si="61"/>
        <v>5.25</v>
      </c>
      <c r="AC80" s="13">
        <f t="shared" si="61"/>
        <v>91.73026452684485</v>
      </c>
      <c r="AD80" s="24">
        <f t="shared" si="61"/>
        <v>-11.5</v>
      </c>
      <c r="AE80" s="13">
        <f t="shared" si="61"/>
        <v>47.03829555120867</v>
      </c>
      <c r="AF80" s="24">
        <f t="shared" si="61"/>
        <v>-26</v>
      </c>
      <c r="AG80" s="13">
        <f t="shared" si="61"/>
        <v>49.61018234960556</v>
      </c>
      <c r="AH80" s="24">
        <f t="shared" si="61"/>
        <v>-27</v>
      </c>
      <c r="AI80" s="13">
        <f t="shared" si="61"/>
        <v>45.65859624744199</v>
      </c>
      <c r="AJ80" s="24">
        <f t="shared" si="61"/>
        <v>15</v>
      </c>
      <c r="AK80" s="13">
        <f t="shared" si="61"/>
        <v>43.839852554841286</v>
      </c>
      <c r="AL80" s="24">
        <f t="shared" si="61"/>
        <v>-19.75</v>
      </c>
      <c r="AM80" s="13">
        <f t="shared" si="61"/>
        <v>49.731058732892315</v>
      </c>
      <c r="AN80" s="24">
        <f t="shared" si="61"/>
        <v>-34</v>
      </c>
      <c r="AO80" s="13">
        <f t="shared" si="61"/>
        <v>48.40435257705409</v>
      </c>
      <c r="AP80" s="24">
        <f t="shared" si="61"/>
        <v>-33</v>
      </c>
      <c r="AQ80" s="13">
        <f t="shared" si="61"/>
        <v>46.40017737859286</v>
      </c>
      <c r="AR80" s="24">
        <f t="shared" si="61"/>
        <v>5.25</v>
      </c>
      <c r="AS80" s="13">
        <f t="shared" si="61"/>
        <v>52.862071877045764</v>
      </c>
      <c r="AT80" s="13">
        <f t="shared" si="61"/>
        <v>13.277648644715537</v>
      </c>
      <c r="AU80" s="13">
        <f t="shared" si="61"/>
        <v>76.60930423738802</v>
      </c>
      <c r="AV80" s="13">
        <f t="shared" si="61"/>
        <v>7.563788243062643</v>
      </c>
      <c r="AW80" s="24">
        <f t="shared" si="57"/>
        <v>5.713860401652894</v>
      </c>
      <c r="AX80" s="13">
        <f>AVERAGE(AX76:AX79)</f>
        <v>2.5492588748338</v>
      </c>
      <c r="AY80" s="13">
        <f>AVERAGE(AY76:AY79)</f>
        <v>19.02048251118394</v>
      </c>
      <c r="AZ80" s="13">
        <f>AVERAGE(AZ76:AZ79)</f>
        <v>72.2376257725804</v>
      </c>
      <c r="BA80" s="13">
        <f>AVERAGE(BA76:BA79)</f>
        <v>7.387020649306878</v>
      </c>
      <c r="BB80" s="24">
        <f t="shared" si="58"/>
        <v>11.63346186187706</v>
      </c>
      <c r="BC80" s="13">
        <f>AVERAGE(BC76:BC79)</f>
        <v>1.3548710669287851</v>
      </c>
      <c r="BD80" s="13">
        <f>AVERAGE(BD76:BD79)</f>
        <v>52.20647292019409</v>
      </c>
      <c r="BE80" s="13">
        <f>AVERAGE(BE76:BE79)</f>
        <v>45.408773892810245</v>
      </c>
      <c r="BF80" s="13">
        <f>AVERAGE(BF76:BF79)</f>
        <v>2.00601822980025</v>
      </c>
      <c r="BG80" s="24">
        <f t="shared" si="59"/>
        <v>50.20045469039384</v>
      </c>
      <c r="BH80" s="13">
        <f>AVERAGE(BH76:BH79)</f>
        <v>0.3787349571954222</v>
      </c>
      <c r="BI80" s="13">
        <f>AVERAGE(BI76:BI79)</f>
        <v>27.83276869463483</v>
      </c>
      <c r="BJ80" s="13">
        <f>AVERAGE(BJ76:BJ79)</f>
        <v>64.98316948562524</v>
      </c>
      <c r="BK80" s="13">
        <f>AVERAGE(BK76:BK79)</f>
        <v>5.575345961274111</v>
      </c>
      <c r="BL80" s="24">
        <f t="shared" si="60"/>
        <v>22.25742273336072</v>
      </c>
      <c r="BM80" s="13">
        <f>AVERAGE(BM76:BM79)</f>
        <v>1.6087158584658223</v>
      </c>
      <c r="BN80" s="108" t="s">
        <v>1</v>
      </c>
      <c r="BO80" s="13"/>
      <c r="BP80" s="24">
        <f aca="true" t="shared" si="62" ref="BP80:DR80">AVERAGE(BP76:BP79)</f>
        <v>-38.5</v>
      </c>
      <c r="BQ80" s="13">
        <f t="shared" si="62"/>
        <v>34.95450656928715</v>
      </c>
      <c r="BR80" s="22" t="s">
        <v>1</v>
      </c>
      <c r="BS80" s="22" t="s">
        <v>1</v>
      </c>
      <c r="BT80" s="22" t="s">
        <v>1</v>
      </c>
      <c r="BU80" s="22" t="s">
        <v>1</v>
      </c>
      <c r="BV80" s="24">
        <f t="shared" si="62"/>
        <v>-18.75</v>
      </c>
      <c r="BW80" s="13">
        <f t="shared" si="62"/>
        <v>33.18704694432779</v>
      </c>
      <c r="BX80" s="24">
        <f t="shared" si="62"/>
        <v>-46</v>
      </c>
      <c r="BY80" s="13">
        <f t="shared" si="62"/>
        <v>35.640872009955295</v>
      </c>
      <c r="BZ80" s="24">
        <f t="shared" si="62"/>
        <v>-49.75</v>
      </c>
      <c r="CA80" s="13">
        <f t="shared" si="62"/>
        <v>29.687585387964607</v>
      </c>
      <c r="CB80" s="21">
        <f t="shared" si="62"/>
        <v>-7.612500000000001</v>
      </c>
      <c r="CC80" s="22" t="s">
        <v>1</v>
      </c>
      <c r="CD80" s="22" t="s">
        <v>1</v>
      </c>
      <c r="CE80" s="22" t="s">
        <v>1</v>
      </c>
      <c r="CF80" s="22" t="s">
        <v>1</v>
      </c>
      <c r="CG80" s="22" t="s">
        <v>1</v>
      </c>
      <c r="CH80" s="22" t="s">
        <v>1</v>
      </c>
      <c r="CI80" s="24">
        <f t="shared" si="62"/>
        <v>-26.5</v>
      </c>
      <c r="CJ80" s="13">
        <f t="shared" si="62"/>
        <v>29.702558109810653</v>
      </c>
      <c r="CK80" s="21">
        <f t="shared" si="62"/>
        <v>-3.0220000000000002</v>
      </c>
      <c r="CL80" s="24">
        <f t="shared" si="62"/>
        <v>-58.75</v>
      </c>
      <c r="CM80" s="8">
        <f t="shared" si="62"/>
        <v>29.68177096443677</v>
      </c>
      <c r="CN80" s="21">
        <f t="shared" si="62"/>
        <v>-9.39525</v>
      </c>
      <c r="CO80" s="24">
        <f t="shared" si="62"/>
        <v>11.25</v>
      </c>
      <c r="CP80" s="13">
        <f t="shared" si="62"/>
        <v>75.22424954353349</v>
      </c>
      <c r="CQ80" s="22" t="s">
        <v>1</v>
      </c>
      <c r="CR80" s="22" t="s">
        <v>1</v>
      </c>
      <c r="CS80" s="22" t="s">
        <v>1</v>
      </c>
      <c r="CT80" s="22" t="s">
        <v>1</v>
      </c>
      <c r="CU80" s="24">
        <f t="shared" si="62"/>
        <v>4.75</v>
      </c>
      <c r="CV80" s="13">
        <f t="shared" si="62"/>
        <v>88.19795679880218</v>
      </c>
      <c r="CW80" s="13">
        <f t="shared" si="62"/>
        <v>14</v>
      </c>
      <c r="CX80" s="13">
        <f t="shared" si="62"/>
        <v>70.18611222395155</v>
      </c>
      <c r="CY80" s="24">
        <f t="shared" si="62"/>
        <v>-16.75</v>
      </c>
      <c r="CZ80" s="13">
        <f t="shared" si="62"/>
        <v>45.115706278170045</v>
      </c>
      <c r="DA80" s="22" t="s">
        <v>1</v>
      </c>
      <c r="DB80" s="22" t="s">
        <v>1</v>
      </c>
      <c r="DC80" s="22" t="s">
        <v>1</v>
      </c>
      <c r="DD80" s="22" t="s">
        <v>1</v>
      </c>
      <c r="DE80" s="24">
        <f t="shared" si="62"/>
        <v>13</v>
      </c>
      <c r="DF80" s="13">
        <f t="shared" si="62"/>
        <v>49.618611572662374</v>
      </c>
      <c r="DG80" s="24">
        <f t="shared" si="62"/>
        <v>-28</v>
      </c>
      <c r="DH80" s="13">
        <f t="shared" si="62"/>
        <v>43.36707307993661</v>
      </c>
      <c r="DI80" s="24">
        <f t="shared" si="62"/>
        <v>-26.25</v>
      </c>
      <c r="DJ80" s="13">
        <f t="shared" si="62"/>
        <v>47.7336278553097</v>
      </c>
      <c r="DK80" s="22" t="s">
        <v>1</v>
      </c>
      <c r="DL80" s="22" t="s">
        <v>1</v>
      </c>
      <c r="DM80" s="22" t="s">
        <v>1</v>
      </c>
      <c r="DN80" s="22" t="s">
        <v>1</v>
      </c>
      <c r="DO80" s="24">
        <f t="shared" si="62"/>
        <v>0</v>
      </c>
      <c r="DP80" s="13">
        <f t="shared" si="62"/>
        <v>59.602908685887485</v>
      </c>
      <c r="DQ80" s="13">
        <f t="shared" si="62"/>
        <v>-35.75</v>
      </c>
      <c r="DR80" s="13">
        <f t="shared" si="62"/>
        <v>43.12437735099854</v>
      </c>
      <c r="DS80" s="22" t="s">
        <v>1</v>
      </c>
      <c r="DT80" s="22" t="s">
        <v>1</v>
      </c>
      <c r="DU80" s="22" t="s">
        <v>1</v>
      </c>
      <c r="DV80" s="22" t="s">
        <v>1</v>
      </c>
      <c r="DW80" s="22" t="s">
        <v>1</v>
      </c>
      <c r="DX80" s="22" t="s">
        <v>1</v>
      </c>
      <c r="DY80" s="22" t="s">
        <v>1</v>
      </c>
      <c r="DZ80" s="22" t="s">
        <v>1</v>
      </c>
      <c r="EA80" s="22" t="s">
        <v>1</v>
      </c>
      <c r="EB80" s="22" t="s">
        <v>1</v>
      </c>
      <c r="EC80" s="13">
        <f aca="true" t="shared" si="63" ref="EC80:EO80">AVERAGE(EC76:EC79)</f>
        <v>51.97660087278836</v>
      </c>
      <c r="ED80" s="13">
        <f t="shared" si="63"/>
        <v>43.16833129439261</v>
      </c>
      <c r="EE80" s="13">
        <f t="shared" si="63"/>
        <v>4.109135063085435</v>
      </c>
      <c r="EF80" s="13">
        <f t="shared" si="63"/>
        <v>47.86746580970292</v>
      </c>
      <c r="EG80" s="13">
        <f t="shared" si="63"/>
        <v>0.7459327697335987</v>
      </c>
      <c r="EH80" s="13">
        <f t="shared" si="63"/>
        <v>25.71934013457782</v>
      </c>
      <c r="EI80" s="13">
        <f t="shared" si="63"/>
        <v>63.18096502764335</v>
      </c>
      <c r="EJ80" s="13">
        <f t="shared" si="63"/>
        <v>8.323088905629541</v>
      </c>
      <c r="EK80" s="13">
        <f t="shared" si="63"/>
        <v>17.396251228948273</v>
      </c>
      <c r="EL80" s="13">
        <f t="shared" si="63"/>
        <v>2.7766059321492866</v>
      </c>
      <c r="EM80" s="13">
        <f t="shared" si="63"/>
        <v>15.52274153463258</v>
      </c>
      <c r="EN80" s="13">
        <f t="shared" si="63"/>
        <v>70.9525599072541</v>
      </c>
      <c r="EO80" s="13">
        <f t="shared" si="63"/>
        <v>9.95951230407607</v>
      </c>
      <c r="EP80" s="24">
        <f t="shared" si="53"/>
        <v>5.5632292305565105</v>
      </c>
      <c r="EQ80" s="13">
        <f>AVERAGE(EQ76:EQ79)</f>
        <v>3.565186254037247</v>
      </c>
      <c r="ER80" s="120" t="s">
        <v>1</v>
      </c>
    </row>
    <row r="81" spans="1:148" ht="12">
      <c r="A81" s="1" t="s">
        <v>198</v>
      </c>
      <c r="B81" s="24">
        <f>5-68</f>
        <v>-63</v>
      </c>
      <c r="C81" s="8">
        <v>26.790631011202056</v>
      </c>
      <c r="D81" s="23">
        <f>3-66</f>
        <v>-63</v>
      </c>
      <c r="E81" s="8">
        <v>30.82158776051078</v>
      </c>
      <c r="F81" s="23">
        <f>7-64</f>
        <v>-57</v>
      </c>
      <c r="G81" s="8">
        <v>28.972391933483394</v>
      </c>
      <c r="H81" s="23">
        <f>7-73</f>
        <v>-66</v>
      </c>
      <c r="I81" s="8">
        <v>19.753586622221402</v>
      </c>
      <c r="J81" s="23">
        <f>11-60</f>
        <v>-49</v>
      </c>
      <c r="K81" s="8">
        <v>28.937376632846778</v>
      </c>
      <c r="L81" s="20">
        <v>-7.936</v>
      </c>
      <c r="M81" s="23">
        <f>5-66</f>
        <v>-61</v>
      </c>
      <c r="N81" s="8">
        <v>29.001325141549213</v>
      </c>
      <c r="O81" s="20">
        <v>-10.782</v>
      </c>
      <c r="P81" s="23">
        <f>5-65</f>
        <v>-60</v>
      </c>
      <c r="Q81" s="8">
        <v>30.566401763976298</v>
      </c>
      <c r="R81" s="20">
        <v>-8.598</v>
      </c>
      <c r="S81" s="23">
        <f>23-49</f>
        <v>-26</v>
      </c>
      <c r="T81" s="8">
        <v>28.18652277205842</v>
      </c>
      <c r="U81" s="20">
        <v>-3.319</v>
      </c>
      <c r="V81" s="23">
        <f>15-5</f>
        <v>10</v>
      </c>
      <c r="W81" s="10">
        <v>80.15124655829216</v>
      </c>
      <c r="X81" s="23">
        <f>17-8</f>
        <v>9</v>
      </c>
      <c r="Y81" s="10">
        <v>75.64269365136731</v>
      </c>
      <c r="Z81" s="23">
        <f>17-7</f>
        <v>10</v>
      </c>
      <c r="AA81" s="10">
        <v>75.88313657035233</v>
      </c>
      <c r="AB81" s="23">
        <f>10-1</f>
        <v>9</v>
      </c>
      <c r="AC81" s="10">
        <v>88.75485736385569</v>
      </c>
      <c r="AD81" s="23">
        <f>21-29</f>
        <v>-8</v>
      </c>
      <c r="AE81" s="10">
        <v>49.90444938960761</v>
      </c>
      <c r="AF81" s="23">
        <f>11-34</f>
        <v>-23</v>
      </c>
      <c r="AG81" s="10">
        <v>54.33441754005541</v>
      </c>
      <c r="AH81" s="23">
        <f>19-35</f>
        <v>-16</v>
      </c>
      <c r="AI81" s="10">
        <v>46.74537185906564</v>
      </c>
      <c r="AJ81" s="23">
        <f>36-19</f>
        <v>17</v>
      </c>
      <c r="AK81" s="10">
        <v>44.398607709165915</v>
      </c>
      <c r="AL81" s="23">
        <f>11-35</f>
        <v>-24</v>
      </c>
      <c r="AM81" s="10">
        <v>54.83159204918342</v>
      </c>
      <c r="AN81" s="23">
        <f>6-42</f>
        <v>-36</v>
      </c>
      <c r="AO81" s="10">
        <v>51.67208770027707</v>
      </c>
      <c r="AP81" s="23">
        <f>12-41</f>
        <v>-29</v>
      </c>
      <c r="AQ81" s="10">
        <v>47.58142312462677</v>
      </c>
      <c r="AR81" s="23">
        <f>17-20</f>
        <v>-3</v>
      </c>
      <c r="AS81" s="10">
        <v>62.56837142488811</v>
      </c>
      <c r="AT81" s="25">
        <v>12.73099626551018</v>
      </c>
      <c r="AU81" s="25">
        <v>74.96566678713408</v>
      </c>
      <c r="AV81" s="25">
        <v>9.769907240091555</v>
      </c>
      <c r="AW81" s="24">
        <f t="shared" si="57"/>
        <v>2.961089025418625</v>
      </c>
      <c r="AX81" s="25">
        <v>2.533429707264185</v>
      </c>
      <c r="AY81" s="25">
        <v>15.310763011622031</v>
      </c>
      <c r="AZ81" s="25">
        <v>73.52198079838303</v>
      </c>
      <c r="BA81" s="25">
        <v>7.864394322201296</v>
      </c>
      <c r="BB81" s="24">
        <f t="shared" si="58"/>
        <v>7.446368689420735</v>
      </c>
      <c r="BC81" s="25">
        <v>3.3028618677936517</v>
      </c>
      <c r="BD81" s="25">
        <v>31.015304149247687</v>
      </c>
      <c r="BE81" s="25">
        <v>63.17980073297851</v>
      </c>
      <c r="BF81" s="25">
        <v>4.3886627746367335</v>
      </c>
      <c r="BG81" s="24">
        <f t="shared" si="59"/>
        <v>26.626641374610955</v>
      </c>
      <c r="BH81" s="25">
        <v>1.4162323431370745</v>
      </c>
      <c r="BI81" s="8">
        <v>19.325110951860093</v>
      </c>
      <c r="BJ81" s="8">
        <v>70.74516903657326</v>
      </c>
      <c r="BK81" s="8">
        <v>7.67233684104653</v>
      </c>
      <c r="BL81" s="24">
        <f t="shared" si="60"/>
        <v>11.652774110813564</v>
      </c>
      <c r="BM81" s="8">
        <v>2.2573831705201224</v>
      </c>
      <c r="BN81" s="108" t="s">
        <v>1</v>
      </c>
      <c r="BO81" s="8"/>
      <c r="BP81" s="24">
        <f>5-65</f>
        <v>-60</v>
      </c>
      <c r="BQ81" s="8">
        <v>30.226777567798546</v>
      </c>
      <c r="BR81" s="22" t="s">
        <v>1</v>
      </c>
      <c r="BS81" s="22" t="s">
        <v>1</v>
      </c>
      <c r="BT81" s="22" t="s">
        <v>1</v>
      </c>
      <c r="BU81" s="22" t="s">
        <v>1</v>
      </c>
      <c r="BV81" s="24">
        <f>7-71</f>
        <v>-64</v>
      </c>
      <c r="BW81" s="8">
        <v>21.089011470973126</v>
      </c>
      <c r="BX81" s="24">
        <f>4-63</f>
        <v>-59</v>
      </c>
      <c r="BY81" s="8">
        <v>33.431888277714826</v>
      </c>
      <c r="BZ81" s="24">
        <f>7-65</f>
        <v>-58</v>
      </c>
      <c r="CA81" s="8">
        <v>28.675853077913814</v>
      </c>
      <c r="CB81" s="20">
        <v>-10.344</v>
      </c>
      <c r="CC81" s="22" t="s">
        <v>1</v>
      </c>
      <c r="CD81" s="22" t="s">
        <v>1</v>
      </c>
      <c r="CE81" s="22" t="s">
        <v>1</v>
      </c>
      <c r="CF81" s="22" t="s">
        <v>1</v>
      </c>
      <c r="CG81" s="22" t="s">
        <v>1</v>
      </c>
      <c r="CH81" s="22" t="s">
        <v>1</v>
      </c>
      <c r="CI81" s="24">
        <f>20-54</f>
        <v>-34</v>
      </c>
      <c r="CJ81" s="8">
        <v>26.080150616694063</v>
      </c>
      <c r="CK81" s="21">
        <v>-3.73</v>
      </c>
      <c r="CL81" s="24">
        <f>2-69</f>
        <v>-67</v>
      </c>
      <c r="CM81" s="8">
        <v>29.586306866077837</v>
      </c>
      <c r="CN81" s="21">
        <v>-12.664</v>
      </c>
      <c r="CO81" s="24">
        <f>19-8</f>
        <v>11</v>
      </c>
      <c r="CP81" s="10">
        <v>72.93210839619593</v>
      </c>
      <c r="CQ81" s="22" t="s">
        <v>1</v>
      </c>
      <c r="CR81" s="22" t="s">
        <v>1</v>
      </c>
      <c r="CS81" s="22" t="s">
        <v>1</v>
      </c>
      <c r="CT81" s="22" t="s">
        <v>1</v>
      </c>
      <c r="CU81" s="24">
        <f>6-2</f>
        <v>4</v>
      </c>
      <c r="CV81" s="10">
        <v>92.60038438635463</v>
      </c>
      <c r="CW81" s="8">
        <f>24-10</f>
        <v>14</v>
      </c>
      <c r="CX81" s="8">
        <v>66.03337610717975</v>
      </c>
      <c r="CY81" s="24">
        <f>17-32</f>
        <v>-15</v>
      </c>
      <c r="CZ81" s="10">
        <v>51.04009162954479</v>
      </c>
      <c r="DA81" s="22" t="s">
        <v>1</v>
      </c>
      <c r="DB81" s="22" t="s">
        <v>1</v>
      </c>
      <c r="DC81" s="22" t="s">
        <v>1</v>
      </c>
      <c r="DD81" s="22" t="s">
        <v>1</v>
      </c>
      <c r="DE81" s="24">
        <f>23-15</f>
        <v>8</v>
      </c>
      <c r="DF81" s="25">
        <v>61.952347502380135</v>
      </c>
      <c r="DG81" s="24">
        <f>15-37</f>
        <v>-22</v>
      </c>
      <c r="DH81" s="8">
        <v>47.21257100833714</v>
      </c>
      <c r="DI81" s="24">
        <f>9-35</f>
        <v>-26</v>
      </c>
      <c r="DJ81" s="25">
        <v>55.91286489549546</v>
      </c>
      <c r="DK81" s="22" t="s">
        <v>1</v>
      </c>
      <c r="DL81" s="22" t="s">
        <v>1</v>
      </c>
      <c r="DM81" s="22" t="s">
        <v>1</v>
      </c>
      <c r="DN81" s="22" t="s">
        <v>1</v>
      </c>
      <c r="DO81" s="24">
        <f>14-15</f>
        <v>-1</v>
      </c>
      <c r="DP81" s="25">
        <v>70.82407727663337</v>
      </c>
      <c r="DQ81" s="24">
        <f>7-43</f>
        <v>-36</v>
      </c>
      <c r="DR81" s="8">
        <v>50.68269310140403</v>
      </c>
      <c r="DS81" s="22" t="s">
        <v>1</v>
      </c>
      <c r="DT81" s="22" t="s">
        <v>1</v>
      </c>
      <c r="DU81" s="22" t="s">
        <v>1</v>
      </c>
      <c r="DV81" s="22" t="s">
        <v>1</v>
      </c>
      <c r="DW81" s="22" t="s">
        <v>1</v>
      </c>
      <c r="DX81" s="22" t="s">
        <v>1</v>
      </c>
      <c r="DY81" s="22" t="s">
        <v>1</v>
      </c>
      <c r="DZ81" s="22" t="s">
        <v>1</v>
      </c>
      <c r="EA81" s="22" t="s">
        <v>1</v>
      </c>
      <c r="EB81" s="22" t="s">
        <v>1</v>
      </c>
      <c r="EC81" s="25">
        <v>38.54489440072456</v>
      </c>
      <c r="ED81" s="25">
        <v>56.40245750533969</v>
      </c>
      <c r="EE81" s="25">
        <v>3.34786965095009</v>
      </c>
      <c r="EF81" s="16">
        <f>EC81-EE81</f>
        <v>35.19702474977447</v>
      </c>
      <c r="EG81" s="25">
        <v>1.7047784429856623</v>
      </c>
      <c r="EH81" s="8">
        <v>18.508918047298103</v>
      </c>
      <c r="EI81" s="8">
        <v>68.20956647262364</v>
      </c>
      <c r="EJ81" s="8">
        <v>9.97971298174724</v>
      </c>
      <c r="EK81" s="16">
        <f>EH81-EJ81</f>
        <v>8.529205065550864</v>
      </c>
      <c r="EL81" s="23">
        <v>3.3018024983310204</v>
      </c>
      <c r="EM81" s="25">
        <v>11.481213276401595</v>
      </c>
      <c r="EN81" s="25">
        <v>72.35096066056826</v>
      </c>
      <c r="EO81" s="25">
        <v>12.305860517238361</v>
      </c>
      <c r="EP81" s="24">
        <f aca="true" t="shared" si="64" ref="EP81:EP90">EM81-EO81</f>
        <v>-0.8246472408367662</v>
      </c>
      <c r="EQ81" s="13">
        <v>3.861965545791779</v>
      </c>
      <c r="ER81" s="120" t="s">
        <v>1</v>
      </c>
    </row>
    <row r="82" spans="1:148" ht="12">
      <c r="A82" s="1" t="s">
        <v>36</v>
      </c>
      <c r="B82" s="24">
        <f>14-43</f>
        <v>-29</v>
      </c>
      <c r="C82" s="8">
        <v>42.21262525302053</v>
      </c>
      <c r="D82" s="23">
        <f>9-44</f>
        <v>-35</v>
      </c>
      <c r="E82" s="8">
        <v>46.853391157691846</v>
      </c>
      <c r="F82" s="23">
        <f>8-43</f>
        <v>-35</v>
      </c>
      <c r="G82" s="8">
        <v>49.7174881712527</v>
      </c>
      <c r="H82" s="23">
        <f>25-42</f>
        <v>-17</v>
      </c>
      <c r="I82" s="8">
        <v>32.1092469474576</v>
      </c>
      <c r="J82" s="23">
        <f>8-47</f>
        <v>-39</v>
      </c>
      <c r="K82" s="8">
        <v>45.14829203283924</v>
      </c>
      <c r="L82" s="20">
        <v>-4.822</v>
      </c>
      <c r="M82" s="23">
        <f>4-50</f>
        <v>-46</v>
      </c>
      <c r="N82" s="8">
        <v>45.922178050837246</v>
      </c>
      <c r="O82" s="20">
        <v>-6.776</v>
      </c>
      <c r="P82" s="23">
        <f>3-53</f>
        <v>-50</v>
      </c>
      <c r="Q82" s="8">
        <v>44.094813725940554</v>
      </c>
      <c r="R82" s="20">
        <v>-6.025</v>
      </c>
      <c r="S82" s="23">
        <f>15-40</f>
        <v>-25</v>
      </c>
      <c r="T82" s="8">
        <v>44.38755778191127</v>
      </c>
      <c r="U82" s="20">
        <v>-1.352</v>
      </c>
      <c r="V82" s="23">
        <f>12-3</f>
        <v>9</v>
      </c>
      <c r="W82" s="10">
        <v>84.91243289455487</v>
      </c>
      <c r="X82" s="23">
        <f>14-4</f>
        <v>10</v>
      </c>
      <c r="Y82" s="10">
        <v>82.16359474762078</v>
      </c>
      <c r="Z82" s="23">
        <f>10-4</f>
        <v>6</v>
      </c>
      <c r="AA82" s="10">
        <v>85.58041251320685</v>
      </c>
      <c r="AB82" s="23">
        <f>10-1</f>
        <v>9</v>
      </c>
      <c r="AC82" s="10">
        <v>88.84694009097774</v>
      </c>
      <c r="AD82" s="23">
        <f>17-29</f>
        <v>-12</v>
      </c>
      <c r="AE82" s="10">
        <v>54.532996391707215</v>
      </c>
      <c r="AF82" s="23">
        <f>11-38</f>
        <v>-27</v>
      </c>
      <c r="AG82" s="10">
        <v>50.81315504156125</v>
      </c>
      <c r="AH82" s="23">
        <f>9-35</f>
        <v>-26</v>
      </c>
      <c r="AI82" s="10">
        <v>55.65253341908218</v>
      </c>
      <c r="AJ82" s="23">
        <f>28-12</f>
        <v>16</v>
      </c>
      <c r="AK82" s="10">
        <v>59.77089817492035</v>
      </c>
      <c r="AL82" s="23">
        <f>11-31</f>
        <v>-20</v>
      </c>
      <c r="AM82" s="10">
        <v>58.31981795094231</v>
      </c>
      <c r="AN82" s="23">
        <f>6-40</f>
        <v>-34</v>
      </c>
      <c r="AO82" s="10">
        <v>53.27069027827972</v>
      </c>
      <c r="AP82" s="23">
        <f>7-37</f>
        <v>-30</v>
      </c>
      <c r="AQ82" s="10">
        <v>56.506959437732554</v>
      </c>
      <c r="AR82" s="23">
        <f>20-14</f>
        <v>6</v>
      </c>
      <c r="AS82" s="10">
        <v>66.76550212711099</v>
      </c>
      <c r="AT82" s="25">
        <v>8.8579689194073</v>
      </c>
      <c r="AU82" s="25">
        <v>82.81532345500541</v>
      </c>
      <c r="AV82" s="25">
        <v>7.501505842669558</v>
      </c>
      <c r="AW82" s="24">
        <f t="shared" si="57"/>
        <v>1.3564630767377421</v>
      </c>
      <c r="AX82" s="25">
        <v>0.8252017829177208</v>
      </c>
      <c r="AY82" s="25">
        <v>12.131930727180853</v>
      </c>
      <c r="AZ82" s="25">
        <v>82.19027056823924</v>
      </c>
      <c r="BA82" s="25">
        <v>5.5262069915935506</v>
      </c>
      <c r="BB82" s="24">
        <f t="shared" si="58"/>
        <v>6.605723735587302</v>
      </c>
      <c r="BC82" s="25">
        <v>0.15159171298635674</v>
      </c>
      <c r="BD82" s="25">
        <v>58.67327206762556</v>
      </c>
      <c r="BE82" s="25">
        <v>37.61763568389841</v>
      </c>
      <c r="BF82" s="25">
        <v>2.672240741081788</v>
      </c>
      <c r="BG82" s="24">
        <f t="shared" si="59"/>
        <v>56.001031326543774</v>
      </c>
      <c r="BH82" s="25">
        <v>1.036851507394243</v>
      </c>
      <c r="BI82" s="8">
        <v>26.30973484705616</v>
      </c>
      <c r="BJ82" s="8">
        <v>67.30220395026339</v>
      </c>
      <c r="BK82" s="8">
        <v>5.582795861149876</v>
      </c>
      <c r="BL82" s="24">
        <f t="shared" si="60"/>
        <v>20.726938985906283</v>
      </c>
      <c r="BM82" s="8">
        <v>0.80526534153057</v>
      </c>
      <c r="BN82" s="108" t="s">
        <v>1</v>
      </c>
      <c r="BO82" s="8"/>
      <c r="BP82" s="24">
        <f>13-42</f>
        <v>-29</v>
      </c>
      <c r="BQ82" s="8">
        <v>44.1129221176647</v>
      </c>
      <c r="BR82" s="22" t="s">
        <v>1</v>
      </c>
      <c r="BS82" s="22" t="s">
        <v>1</v>
      </c>
      <c r="BT82" s="22" t="s">
        <v>1</v>
      </c>
      <c r="BU82" s="22" t="s">
        <v>1</v>
      </c>
      <c r="BV82" s="24">
        <f>28-34</f>
        <v>-6</v>
      </c>
      <c r="BW82" s="8">
        <v>38.26926299799962</v>
      </c>
      <c r="BX82" s="24">
        <f>9-45</f>
        <v>-36</v>
      </c>
      <c r="BY82" s="8">
        <v>46.1626106554404</v>
      </c>
      <c r="BZ82" s="24">
        <f>7-49</f>
        <v>-42</v>
      </c>
      <c r="CA82" s="8">
        <v>43.225098865649194</v>
      </c>
      <c r="CB82" s="20">
        <v>-7.586</v>
      </c>
      <c r="CC82" s="22" t="s">
        <v>1</v>
      </c>
      <c r="CD82" s="22" t="s">
        <v>1</v>
      </c>
      <c r="CE82" s="22" t="s">
        <v>1</v>
      </c>
      <c r="CF82" s="22" t="s">
        <v>1</v>
      </c>
      <c r="CG82" s="22" t="s">
        <v>1</v>
      </c>
      <c r="CH82" s="22" t="s">
        <v>1</v>
      </c>
      <c r="CI82" s="24">
        <f>16-41</f>
        <v>-25</v>
      </c>
      <c r="CJ82" s="8">
        <v>42.65672301718328</v>
      </c>
      <c r="CK82" s="21">
        <v>-2.419</v>
      </c>
      <c r="CL82" s="24">
        <f>4-52</f>
        <v>-48</v>
      </c>
      <c r="CM82" s="8">
        <v>43.4244591359683</v>
      </c>
      <c r="CN82" s="21">
        <v>-9.398</v>
      </c>
      <c r="CO82" s="24">
        <f>18-5</f>
        <v>13</v>
      </c>
      <c r="CP82" s="10">
        <v>77.37335428393122</v>
      </c>
      <c r="CQ82" s="22" t="s">
        <v>1</v>
      </c>
      <c r="CR82" s="22" t="s">
        <v>1</v>
      </c>
      <c r="CS82" s="22" t="s">
        <v>1</v>
      </c>
      <c r="CT82" s="22" t="s">
        <v>1</v>
      </c>
      <c r="CU82" s="24">
        <f>12-2</f>
        <v>10</v>
      </c>
      <c r="CV82" s="10">
        <v>85.90464508445446</v>
      </c>
      <c r="CW82" s="8">
        <f>20-6</f>
        <v>14</v>
      </c>
      <c r="CX82" s="8">
        <v>74.38096738931954</v>
      </c>
      <c r="CY82" s="24">
        <f>14-31</f>
        <v>-17</v>
      </c>
      <c r="CZ82" s="10">
        <v>55.31105989716676</v>
      </c>
      <c r="DA82" s="22" t="s">
        <v>1</v>
      </c>
      <c r="DB82" s="22" t="s">
        <v>1</v>
      </c>
      <c r="DC82" s="22" t="s">
        <v>1</v>
      </c>
      <c r="DD82" s="22" t="s">
        <v>1</v>
      </c>
      <c r="DE82" s="24">
        <f>29-19</f>
        <v>10</v>
      </c>
      <c r="DF82" s="25">
        <v>51.88663098553381</v>
      </c>
      <c r="DG82" s="24">
        <f>8-35</f>
        <v>-27</v>
      </c>
      <c r="DH82" s="8">
        <v>56.51219304762405</v>
      </c>
      <c r="DI82" s="24">
        <f>10-35</f>
        <v>-25</v>
      </c>
      <c r="DJ82" s="25">
        <v>55.38170797990002</v>
      </c>
      <c r="DK82" s="22" t="s">
        <v>1</v>
      </c>
      <c r="DL82" s="22" t="s">
        <v>1</v>
      </c>
      <c r="DM82" s="22" t="s">
        <v>1</v>
      </c>
      <c r="DN82" s="22" t="s">
        <v>1</v>
      </c>
      <c r="DO82" s="24">
        <f>20-17</f>
        <v>3</v>
      </c>
      <c r="DP82" s="25">
        <v>62.71416702621173</v>
      </c>
      <c r="DQ82" s="24">
        <f>7-41</f>
        <v>-34</v>
      </c>
      <c r="DR82" s="8">
        <v>52.80981647268352</v>
      </c>
      <c r="DS82" s="22" t="s">
        <v>1</v>
      </c>
      <c r="DT82" s="22" t="s">
        <v>1</v>
      </c>
      <c r="DU82" s="22" t="s">
        <v>1</v>
      </c>
      <c r="DV82" s="22" t="s">
        <v>1</v>
      </c>
      <c r="DW82" s="22" t="s">
        <v>1</v>
      </c>
      <c r="DX82" s="22" t="s">
        <v>1</v>
      </c>
      <c r="DY82" s="22" t="s">
        <v>1</v>
      </c>
      <c r="DZ82" s="22" t="s">
        <v>1</v>
      </c>
      <c r="EA82" s="22" t="s">
        <v>1</v>
      </c>
      <c r="EB82" s="22" t="s">
        <v>1</v>
      </c>
      <c r="EC82" s="25">
        <v>58.939657047499175</v>
      </c>
      <c r="ED82" s="25">
        <v>35.25318509379669</v>
      </c>
      <c r="EE82" s="25">
        <v>4.831394167168841</v>
      </c>
      <c r="EF82" s="16">
        <f>EC82-EE82</f>
        <v>54.10826288033034</v>
      </c>
      <c r="EG82" s="25">
        <v>0.975763691535299</v>
      </c>
      <c r="EH82" s="8">
        <v>21.287248808102955</v>
      </c>
      <c r="EI82" s="8">
        <v>69.23326922845442</v>
      </c>
      <c r="EJ82" s="8">
        <v>8.405408883880664</v>
      </c>
      <c r="EK82" s="16">
        <f>EH82-EJ82</f>
        <v>12.881839924222291</v>
      </c>
      <c r="EL82" s="23">
        <v>1.0740730795619633</v>
      </c>
      <c r="EM82" s="25">
        <v>8.08050488147142</v>
      </c>
      <c r="EN82" s="25">
        <v>81.1519297008082</v>
      </c>
      <c r="EO82" s="25">
        <v>9.659009898018144</v>
      </c>
      <c r="EP82" s="24">
        <f t="shared" si="64"/>
        <v>-1.5785050165467247</v>
      </c>
      <c r="EQ82" s="13">
        <v>1.108555519702234</v>
      </c>
      <c r="ER82" s="120" t="s">
        <v>1</v>
      </c>
    </row>
    <row r="83" spans="1:148" ht="12">
      <c r="A83" s="1" t="s">
        <v>32</v>
      </c>
      <c r="B83" s="24">
        <f>18-52</f>
        <v>-34</v>
      </c>
      <c r="C83" s="8">
        <v>30.4705867561825</v>
      </c>
      <c r="D83" s="23">
        <f>10-58</f>
        <v>-48</v>
      </c>
      <c r="E83" s="8">
        <v>31.88531502228647</v>
      </c>
      <c r="F83" s="23">
        <f>13-50</f>
        <v>-37</v>
      </c>
      <c r="G83" s="8">
        <v>37.30993614773301</v>
      </c>
      <c r="H83" s="23">
        <f>31-44</f>
        <v>-13</v>
      </c>
      <c r="I83" s="8">
        <v>25.565848358164978</v>
      </c>
      <c r="J83" s="23">
        <f>13-53</f>
        <v>-40</v>
      </c>
      <c r="K83" s="8">
        <v>33.63192899080954</v>
      </c>
      <c r="L83" s="20">
        <v>-5.726</v>
      </c>
      <c r="M83" s="23">
        <f>8-61</f>
        <v>-53</v>
      </c>
      <c r="N83" s="8">
        <v>30.52523792314179</v>
      </c>
      <c r="O83" s="20">
        <v>-8.58</v>
      </c>
      <c r="P83" s="23">
        <f>13-53</f>
        <v>-40</v>
      </c>
      <c r="Q83" s="8">
        <v>34.27810188800588</v>
      </c>
      <c r="R83" s="20">
        <v>-5.591</v>
      </c>
      <c r="S83" s="23">
        <f>21-41</f>
        <v>-20</v>
      </c>
      <c r="T83" s="8">
        <v>38.12224902852723</v>
      </c>
      <c r="U83" s="20">
        <v>-1.417</v>
      </c>
      <c r="V83" s="23">
        <f>15-6</f>
        <v>9</v>
      </c>
      <c r="W83" s="10">
        <v>79.45096116370586</v>
      </c>
      <c r="X83" s="23">
        <f>19-9</f>
        <v>10</v>
      </c>
      <c r="Y83" s="10">
        <v>72.15757137694254</v>
      </c>
      <c r="Z83" s="23">
        <f>16-7</f>
        <v>9</v>
      </c>
      <c r="AA83" s="10">
        <v>77.04533970324773</v>
      </c>
      <c r="AB83" s="23">
        <f>7-1</f>
        <v>6</v>
      </c>
      <c r="AC83" s="10">
        <v>91.56522219562055</v>
      </c>
      <c r="AD83" s="23">
        <f>34-22</f>
        <v>12</v>
      </c>
      <c r="AE83" s="10">
        <v>43.677944153182715</v>
      </c>
      <c r="AF83" s="23">
        <f>26-33</f>
        <v>-7</v>
      </c>
      <c r="AG83" s="10">
        <v>41.580532465967956</v>
      </c>
      <c r="AH83" s="23">
        <f>33-19</f>
        <v>14</v>
      </c>
      <c r="AI83" s="10">
        <v>47.540079930175935</v>
      </c>
      <c r="AJ83" s="23">
        <f>47-8</f>
        <v>39</v>
      </c>
      <c r="AK83" s="10">
        <v>45.336009871268345</v>
      </c>
      <c r="AL83" s="23">
        <f>27-26</f>
        <v>1</v>
      </c>
      <c r="AM83" s="10">
        <v>47.23783301273589</v>
      </c>
      <c r="AN83" s="23">
        <f>19-38</f>
        <v>-19</v>
      </c>
      <c r="AO83" s="10">
        <v>43.006866642573186</v>
      </c>
      <c r="AP83" s="23">
        <f>19-24</f>
        <v>-5</v>
      </c>
      <c r="AQ83" s="10">
        <v>57.829941660158944</v>
      </c>
      <c r="AR83" s="23">
        <f>42-9</f>
        <v>33</v>
      </c>
      <c r="AS83" s="10">
        <v>49.45947439179359</v>
      </c>
      <c r="AT83" s="25">
        <v>13.250210817973738</v>
      </c>
      <c r="AU83" s="25">
        <v>73.37790627635225</v>
      </c>
      <c r="AV83" s="25">
        <v>10.89386820864956</v>
      </c>
      <c r="AW83" s="24">
        <f t="shared" si="57"/>
        <v>2.3563426093241784</v>
      </c>
      <c r="AX83" s="25">
        <v>2.4780146970244545</v>
      </c>
      <c r="AY83" s="25">
        <v>26.078368321925677</v>
      </c>
      <c r="AZ83" s="25">
        <v>67.45371859065644</v>
      </c>
      <c r="BA83" s="25">
        <v>5.383802655151822</v>
      </c>
      <c r="BB83" s="24">
        <f t="shared" si="58"/>
        <v>20.694565666773855</v>
      </c>
      <c r="BC83" s="25">
        <v>1.0841104322660664</v>
      </c>
      <c r="BD83" s="25">
        <v>57.870310687121304</v>
      </c>
      <c r="BE83" s="25">
        <v>37.32665426619275</v>
      </c>
      <c r="BF83" s="25">
        <v>4.637286137866258</v>
      </c>
      <c r="BG83" s="24">
        <f t="shared" si="59"/>
        <v>53.23302454925505</v>
      </c>
      <c r="BH83" s="25">
        <v>0.1657489088196836</v>
      </c>
      <c r="BI83" s="8">
        <v>30.23611058725908</v>
      </c>
      <c r="BJ83" s="8">
        <v>60.26163265819283</v>
      </c>
      <c r="BK83" s="8">
        <v>8.004249487672714</v>
      </c>
      <c r="BL83" s="24">
        <f t="shared" si="60"/>
        <v>22.231861099586368</v>
      </c>
      <c r="BM83" s="8">
        <v>1.4980072668753694</v>
      </c>
      <c r="BN83" s="108" t="s">
        <v>1</v>
      </c>
      <c r="BO83" s="8"/>
      <c r="BP83" s="24">
        <f>17-44</f>
        <v>-27</v>
      </c>
      <c r="BQ83" s="8">
        <v>38.35153856339022</v>
      </c>
      <c r="BR83" s="22" t="s">
        <v>1</v>
      </c>
      <c r="BS83" s="22" t="s">
        <v>1</v>
      </c>
      <c r="BT83" s="22" t="s">
        <v>1</v>
      </c>
      <c r="BU83" s="22" t="s">
        <v>1</v>
      </c>
      <c r="BV83" s="24">
        <f>38-30</f>
        <v>8</v>
      </c>
      <c r="BW83" s="8">
        <v>31.585468912129567</v>
      </c>
      <c r="BX83" s="24">
        <f>10-49</f>
        <v>-39</v>
      </c>
      <c r="BY83" s="8">
        <v>40.72476655735572</v>
      </c>
      <c r="BZ83" s="24">
        <f>10-51</f>
        <v>-41</v>
      </c>
      <c r="CA83" s="8">
        <v>38.94126023957386</v>
      </c>
      <c r="CB83" s="20">
        <v>-5.621</v>
      </c>
      <c r="CC83" s="22" t="s">
        <v>1</v>
      </c>
      <c r="CD83" s="22" t="s">
        <v>1</v>
      </c>
      <c r="CE83" s="22" t="s">
        <v>1</v>
      </c>
      <c r="CF83" s="22" t="s">
        <v>1</v>
      </c>
      <c r="CG83" s="22" t="s">
        <v>1</v>
      </c>
      <c r="CH83" s="22" t="s">
        <v>1</v>
      </c>
      <c r="CI83" s="24">
        <f>23-38</f>
        <v>-15</v>
      </c>
      <c r="CJ83" s="8">
        <v>39.58394990853887</v>
      </c>
      <c r="CK83" s="21">
        <v>-1.473</v>
      </c>
      <c r="CL83" s="24">
        <f>6-55</f>
        <v>-49</v>
      </c>
      <c r="CM83" s="8">
        <v>38.71583407749821</v>
      </c>
      <c r="CN83" s="21">
        <v>-7.076</v>
      </c>
      <c r="CO83" s="24">
        <f>14-6</f>
        <v>8</v>
      </c>
      <c r="CP83" s="10">
        <v>80.6070549934676</v>
      </c>
      <c r="CQ83" s="22" t="s">
        <v>1</v>
      </c>
      <c r="CR83" s="22" t="s">
        <v>1</v>
      </c>
      <c r="CS83" s="22" t="s">
        <v>1</v>
      </c>
      <c r="CT83" s="22" t="s">
        <v>1</v>
      </c>
      <c r="CU83" s="24">
        <f>8-3</f>
        <v>5</v>
      </c>
      <c r="CV83" s="10">
        <v>89.33042606980999</v>
      </c>
      <c r="CW83" s="8">
        <f>16-7</f>
        <v>9</v>
      </c>
      <c r="CX83" s="8">
        <v>77.54729511702774</v>
      </c>
      <c r="CY83" s="24">
        <f>27-28</f>
        <v>-1</v>
      </c>
      <c r="CZ83" s="10">
        <v>44.550282823812196</v>
      </c>
      <c r="DA83" s="22" t="s">
        <v>1</v>
      </c>
      <c r="DB83" s="22" t="s">
        <v>1</v>
      </c>
      <c r="DC83" s="22" t="s">
        <v>1</v>
      </c>
      <c r="DD83" s="22" t="s">
        <v>1</v>
      </c>
      <c r="DE83" s="24">
        <f>40-15</f>
        <v>25</v>
      </c>
      <c r="DF83" s="25">
        <v>45.63179495590967</v>
      </c>
      <c r="DG83" s="24">
        <f>23-33</f>
        <v>-10</v>
      </c>
      <c r="DH83" s="8">
        <v>44.17093779782228</v>
      </c>
      <c r="DI83" s="24">
        <f>22-33</f>
        <v>-11</v>
      </c>
      <c r="DJ83" s="25">
        <v>45.200235925707474</v>
      </c>
      <c r="DK83" s="22" t="s">
        <v>1</v>
      </c>
      <c r="DL83" s="22" t="s">
        <v>1</v>
      </c>
      <c r="DM83" s="22" t="s">
        <v>1</v>
      </c>
      <c r="DN83" s="22" t="s">
        <v>1</v>
      </c>
      <c r="DO83" s="24">
        <f>34-14</f>
        <v>20</v>
      </c>
      <c r="DP83" s="25">
        <v>52.376384842768864</v>
      </c>
      <c r="DQ83" s="24">
        <f>17-40</f>
        <v>-23</v>
      </c>
      <c r="DR83" s="8">
        <v>42.683170867758776</v>
      </c>
      <c r="DS83" s="22" t="s">
        <v>1</v>
      </c>
      <c r="DT83" s="22" t="s">
        <v>1</v>
      </c>
      <c r="DU83" s="22" t="s">
        <v>1</v>
      </c>
      <c r="DV83" s="22" t="s">
        <v>1</v>
      </c>
      <c r="DW83" s="22" t="s">
        <v>1</v>
      </c>
      <c r="DX83" s="22" t="s">
        <v>1</v>
      </c>
      <c r="DY83" s="22" t="s">
        <v>1</v>
      </c>
      <c r="DZ83" s="22" t="s">
        <v>1</v>
      </c>
      <c r="EA83" s="22" t="s">
        <v>1</v>
      </c>
      <c r="EB83" s="22" t="s">
        <v>1</v>
      </c>
      <c r="EC83" s="25">
        <v>55.47661411960192</v>
      </c>
      <c r="ED83" s="25">
        <v>40.89863681907811</v>
      </c>
      <c r="EE83" s="25">
        <v>2.7921496753397257</v>
      </c>
      <c r="EF83" s="16">
        <f>EC83-EE83</f>
        <v>52.68446444426219</v>
      </c>
      <c r="EG83" s="25">
        <v>0.8325993859802387</v>
      </c>
      <c r="EH83" s="8">
        <v>27.72747432641266</v>
      </c>
      <c r="EI83" s="8">
        <v>62.69494194912782</v>
      </c>
      <c r="EJ83" s="8">
        <v>8.548279121963775</v>
      </c>
      <c r="EK83" s="16">
        <f>EH83-EJ83</f>
        <v>19.179195204448888</v>
      </c>
      <c r="EL83" s="23">
        <v>1.0293046024957384</v>
      </c>
      <c r="EM83" s="25">
        <v>17.99434434697344</v>
      </c>
      <c r="EN83" s="25">
        <v>70.34008959995197</v>
      </c>
      <c r="EO83" s="25">
        <v>10.567266250934896</v>
      </c>
      <c r="EP83" s="24">
        <f t="shared" si="64"/>
        <v>7.427078096038542</v>
      </c>
      <c r="EQ83" s="13">
        <v>1.0982998021396928</v>
      </c>
      <c r="ER83" s="120" t="s">
        <v>1</v>
      </c>
    </row>
    <row r="84" spans="1:148" ht="12">
      <c r="A84" s="1" t="s">
        <v>33</v>
      </c>
      <c r="B84" s="24">
        <f>28-34</f>
        <v>-6</v>
      </c>
      <c r="C84" s="8">
        <v>37.820440287154725</v>
      </c>
      <c r="D84" s="23">
        <f>19-39</f>
        <v>-20</v>
      </c>
      <c r="E84" s="8">
        <v>41.874472955065656</v>
      </c>
      <c r="F84" s="23">
        <f>25-31</f>
        <v>-6</v>
      </c>
      <c r="G84" s="8">
        <v>43.42872892645505</v>
      </c>
      <c r="H84" s="23">
        <f>44-27</f>
        <v>17</v>
      </c>
      <c r="I84" s="8">
        <v>29.374389951932816</v>
      </c>
      <c r="J84" s="23">
        <f>13-49</f>
        <v>-36</v>
      </c>
      <c r="K84" s="8">
        <v>38.05365921120457</v>
      </c>
      <c r="L84" s="20">
        <v>-4.375</v>
      </c>
      <c r="M84" s="23">
        <f>8-48</f>
        <v>-40</v>
      </c>
      <c r="N84" s="8">
        <v>43.4754848813396</v>
      </c>
      <c r="O84" s="20">
        <v>-6.731</v>
      </c>
      <c r="P84" s="23">
        <f>10-44</f>
        <v>-34</v>
      </c>
      <c r="Q84" s="8">
        <v>46.45596949790987</v>
      </c>
      <c r="R84" s="20">
        <v>-4.077</v>
      </c>
      <c r="S84" s="23">
        <f>22-52</f>
        <v>-30</v>
      </c>
      <c r="T84" s="8">
        <v>26.396434556805836</v>
      </c>
      <c r="U84" s="20">
        <v>-0.891</v>
      </c>
      <c r="V84" s="23">
        <f>15-4</f>
        <v>11</v>
      </c>
      <c r="W84" s="10">
        <v>81.52290071537234</v>
      </c>
      <c r="X84" s="23">
        <f>15-6</f>
        <v>9</v>
      </c>
      <c r="Y84" s="10">
        <v>79.27960486688352</v>
      </c>
      <c r="Z84" s="23">
        <f>14-5</f>
        <v>9</v>
      </c>
      <c r="AA84" s="10">
        <v>80.91322522853599</v>
      </c>
      <c r="AB84" s="23">
        <f>14-1</f>
        <v>13</v>
      </c>
      <c r="AC84" s="10">
        <v>85.19678078785982</v>
      </c>
      <c r="AD84" s="23">
        <f>13-41</f>
        <v>-28</v>
      </c>
      <c r="AE84" s="10">
        <v>46.018305485359384</v>
      </c>
      <c r="AF84" s="23">
        <f>7-42</f>
        <v>-35</v>
      </c>
      <c r="AG84" s="10">
        <v>50.93362245512589</v>
      </c>
      <c r="AH84" s="23">
        <f>10-40</f>
        <v>-30</v>
      </c>
      <c r="AI84" s="10">
        <v>49.487803757637</v>
      </c>
      <c r="AJ84" s="23">
        <f>23-40</f>
        <v>-17</v>
      </c>
      <c r="AK84" s="10">
        <v>37.113022339269605</v>
      </c>
      <c r="AL84" s="23">
        <f>7-38</f>
        <v>-31</v>
      </c>
      <c r="AM84" s="10">
        <v>55.746237694715795</v>
      </c>
      <c r="AN84" s="23">
        <f>5-42</f>
        <v>-37</v>
      </c>
      <c r="AO84" s="10">
        <v>52.73220093964582</v>
      </c>
      <c r="AP84" s="23">
        <f>10-38</f>
        <v>-28</v>
      </c>
      <c r="AQ84" s="10">
        <v>52.0740502549497</v>
      </c>
      <c r="AR84" s="23">
        <f>7-31</f>
        <v>-24</v>
      </c>
      <c r="AS84" s="10">
        <v>61.826184644284425</v>
      </c>
      <c r="AT84" s="25">
        <v>11.960004818696543</v>
      </c>
      <c r="AU84" s="25">
        <v>77.51837128056862</v>
      </c>
      <c r="AV84" s="25">
        <v>9.60848090591495</v>
      </c>
      <c r="AW84" s="24">
        <f t="shared" si="57"/>
        <v>2.351523912781593</v>
      </c>
      <c r="AX84" s="25">
        <v>0.9131429948199012</v>
      </c>
      <c r="AY84" s="25">
        <v>19.275115990628876</v>
      </c>
      <c r="AZ84" s="25">
        <v>73.3152648261289</v>
      </c>
      <c r="BA84" s="25">
        <v>7.184528457898846</v>
      </c>
      <c r="BB84" s="24">
        <f t="shared" si="58"/>
        <v>12.09058753273003</v>
      </c>
      <c r="BC84" s="25">
        <v>0.2250907253433782</v>
      </c>
      <c r="BD84" s="25">
        <v>57.29755612442218</v>
      </c>
      <c r="BE84" s="25">
        <v>36.70969999447504</v>
      </c>
      <c r="BF84" s="25">
        <v>5.917236044862705</v>
      </c>
      <c r="BG84" s="24">
        <f t="shared" si="59"/>
        <v>51.380320079559475</v>
      </c>
      <c r="BH84" s="25">
        <v>0.07550783624007809</v>
      </c>
      <c r="BI84" s="8">
        <v>28.436364550723543</v>
      </c>
      <c r="BJ84" s="8">
        <v>63.01374168646827</v>
      </c>
      <c r="BK84" s="8">
        <v>8.016821936408554</v>
      </c>
      <c r="BL84" s="24">
        <f t="shared" si="60"/>
        <v>20.419542614314988</v>
      </c>
      <c r="BM84" s="8">
        <v>0.5330718263996279</v>
      </c>
      <c r="BN84" s="108" t="s">
        <v>1</v>
      </c>
      <c r="BO84" s="8"/>
      <c r="BP84" s="24">
        <f>22-35</f>
        <v>-13</v>
      </c>
      <c r="BQ84" s="8">
        <v>42.2113035080523</v>
      </c>
      <c r="BR84" s="22" t="s">
        <v>1</v>
      </c>
      <c r="BS84" s="22" t="s">
        <v>1</v>
      </c>
      <c r="BT84" s="22" t="s">
        <v>1</v>
      </c>
      <c r="BU84" s="22" t="s">
        <v>1</v>
      </c>
      <c r="BV84" s="24">
        <f>45-28</f>
        <v>17</v>
      </c>
      <c r="BW84" s="8">
        <v>27.66868606189405</v>
      </c>
      <c r="BX84" s="24">
        <f>15-38</f>
        <v>-23</v>
      </c>
      <c r="BY84" s="8">
        <v>47.312189045392806</v>
      </c>
      <c r="BZ84" s="24">
        <f>10-51</f>
        <v>-41</v>
      </c>
      <c r="CA84" s="8">
        <v>38.51440878295483</v>
      </c>
      <c r="CB84" s="20">
        <v>-5.797</v>
      </c>
      <c r="CC84" s="22" t="s">
        <v>1</v>
      </c>
      <c r="CD84" s="22" t="s">
        <v>1</v>
      </c>
      <c r="CE84" s="22" t="s">
        <v>1</v>
      </c>
      <c r="CF84" s="22" t="s">
        <v>1</v>
      </c>
      <c r="CG84" s="22" t="s">
        <v>1</v>
      </c>
      <c r="CH84" s="22" t="s">
        <v>1</v>
      </c>
      <c r="CI84" s="24">
        <f>21-50</f>
        <v>-29</v>
      </c>
      <c r="CJ84" s="8">
        <v>29.48917264224613</v>
      </c>
      <c r="CK84" s="21">
        <v>-2.227</v>
      </c>
      <c r="CL84" s="24">
        <f>6-52</f>
        <v>-46</v>
      </c>
      <c r="CM84" s="8">
        <v>41.68004912738852</v>
      </c>
      <c r="CN84" s="21">
        <v>-7.05</v>
      </c>
      <c r="CO84" s="24">
        <f>13-7</f>
        <v>6</v>
      </c>
      <c r="CP84" s="10">
        <v>79.84214829430714</v>
      </c>
      <c r="CQ84" s="22" t="s">
        <v>1</v>
      </c>
      <c r="CR84" s="22" t="s">
        <v>1</v>
      </c>
      <c r="CS84" s="22" t="s">
        <v>1</v>
      </c>
      <c r="CT84" s="22" t="s">
        <v>1</v>
      </c>
      <c r="CU84" s="24">
        <f>9-1</f>
        <v>8</v>
      </c>
      <c r="CV84" s="10">
        <v>90.27374156257689</v>
      </c>
      <c r="CW84" s="8">
        <f>14-9</f>
        <v>5</v>
      </c>
      <c r="CX84" s="8">
        <v>76.18322214634658</v>
      </c>
      <c r="CY84" s="24">
        <f>8-38</f>
        <v>-30</v>
      </c>
      <c r="CZ84" s="10">
        <v>53.693746579864275</v>
      </c>
      <c r="DA84" s="22" t="s">
        <v>1</v>
      </c>
      <c r="DB84" s="22" t="s">
        <v>1</v>
      </c>
      <c r="DC84" s="22" t="s">
        <v>1</v>
      </c>
      <c r="DD84" s="22" t="s">
        <v>1</v>
      </c>
      <c r="DE84" s="24">
        <f>15-39</f>
        <v>-24</v>
      </c>
      <c r="DF84" s="25">
        <v>46.41304774164102</v>
      </c>
      <c r="DG84" s="24">
        <f>6-38</f>
        <v>-32</v>
      </c>
      <c r="DH84" s="8">
        <v>56.24748297175676</v>
      </c>
      <c r="DI84" s="24">
        <f>5-39</f>
        <v>-34</v>
      </c>
      <c r="DJ84" s="25">
        <v>55.991614822578875</v>
      </c>
      <c r="DK84" s="22" t="s">
        <v>1</v>
      </c>
      <c r="DL84" s="22" t="s">
        <v>1</v>
      </c>
      <c r="DM84" s="22" t="s">
        <v>1</v>
      </c>
      <c r="DN84" s="22" t="s">
        <v>1</v>
      </c>
      <c r="DO84" s="24">
        <f>6-34</f>
        <v>-28</v>
      </c>
      <c r="DP84" s="25">
        <v>60.055019308461134</v>
      </c>
      <c r="DQ84" s="24">
        <f>4-41</f>
        <v>-37</v>
      </c>
      <c r="DR84" s="8">
        <v>54.566358244721435</v>
      </c>
      <c r="DS84" s="22" t="s">
        <v>1</v>
      </c>
      <c r="DT84" s="22" t="s">
        <v>1</v>
      </c>
      <c r="DU84" s="22" t="s">
        <v>1</v>
      </c>
      <c r="DV84" s="22" t="s">
        <v>1</v>
      </c>
      <c r="DW84" s="22" t="s">
        <v>1</v>
      </c>
      <c r="DX84" s="22" t="s">
        <v>1</v>
      </c>
      <c r="DY84" s="22" t="s">
        <v>1</v>
      </c>
      <c r="DZ84" s="22" t="s">
        <v>1</v>
      </c>
      <c r="EA84" s="22" t="s">
        <v>1</v>
      </c>
      <c r="EB84" s="22" t="s">
        <v>1</v>
      </c>
      <c r="EC84" s="25">
        <v>54.04818022656688</v>
      </c>
      <c r="ED84" s="25">
        <v>41.03538279960207</v>
      </c>
      <c r="EE84" s="25">
        <v>4.485874336327363</v>
      </c>
      <c r="EF84" s="16">
        <f>EC84-EE84</f>
        <v>49.562305890239514</v>
      </c>
      <c r="EG84" s="25">
        <v>0.43056263750369944</v>
      </c>
      <c r="EH84" s="8">
        <v>21.512526377290392</v>
      </c>
      <c r="EI84" s="8">
        <v>69.08975084282329</v>
      </c>
      <c r="EJ84" s="8">
        <v>8.263510867119567</v>
      </c>
      <c r="EK84" s="16">
        <f>EH84-EJ84</f>
        <v>13.249015510170825</v>
      </c>
      <c r="EL84" s="23">
        <v>1.1342119127667476</v>
      </c>
      <c r="EM84" s="25">
        <v>10.100506032112904</v>
      </c>
      <c r="EN84" s="25">
        <v>78.9299409420752</v>
      </c>
      <c r="EO84" s="25">
        <v>9.588533107207269</v>
      </c>
      <c r="EP84" s="24">
        <f t="shared" si="64"/>
        <v>0.5119729249056348</v>
      </c>
      <c r="EQ84" s="13">
        <v>1.3810199186046221</v>
      </c>
      <c r="ER84" s="120" t="s">
        <v>1</v>
      </c>
    </row>
    <row r="85" spans="1:148" ht="12">
      <c r="A85" s="1" t="s">
        <v>199</v>
      </c>
      <c r="B85" s="24">
        <f aca="true" t="shared" si="65" ref="B85:AV85">AVERAGE(B81:B84)</f>
        <v>-33</v>
      </c>
      <c r="C85" s="13">
        <f t="shared" si="65"/>
        <v>34.32357082688995</v>
      </c>
      <c r="D85" s="24">
        <f t="shared" si="65"/>
        <v>-41.5</v>
      </c>
      <c r="E85" s="13">
        <f t="shared" si="65"/>
        <v>37.85869172388868</v>
      </c>
      <c r="F85" s="24">
        <f t="shared" si="65"/>
        <v>-33.75</v>
      </c>
      <c r="G85" s="13">
        <f t="shared" si="65"/>
        <v>39.857136294731035</v>
      </c>
      <c r="H85" s="24">
        <f t="shared" si="65"/>
        <v>-19.75</v>
      </c>
      <c r="I85" s="13">
        <f t="shared" si="65"/>
        <v>26.700767969944195</v>
      </c>
      <c r="J85" s="24">
        <f t="shared" si="65"/>
        <v>-41</v>
      </c>
      <c r="K85" s="13">
        <f t="shared" si="65"/>
        <v>36.44281421692503</v>
      </c>
      <c r="L85" s="21">
        <f t="shared" si="65"/>
        <v>-5.7147499999999996</v>
      </c>
      <c r="M85" s="24">
        <f t="shared" si="65"/>
        <v>-50</v>
      </c>
      <c r="N85" s="13">
        <f t="shared" si="65"/>
        <v>37.23105649921696</v>
      </c>
      <c r="O85" s="21">
        <f t="shared" si="65"/>
        <v>-8.21725</v>
      </c>
      <c r="P85" s="24">
        <f t="shared" si="65"/>
        <v>-46</v>
      </c>
      <c r="Q85" s="13">
        <f t="shared" si="65"/>
        <v>38.84882171895815</v>
      </c>
      <c r="R85" s="21">
        <f t="shared" si="65"/>
        <v>-6.072750000000001</v>
      </c>
      <c r="S85" s="24">
        <f t="shared" si="65"/>
        <v>-25.25</v>
      </c>
      <c r="T85" s="13">
        <f t="shared" si="65"/>
        <v>34.27319103482569</v>
      </c>
      <c r="U85" s="21">
        <f t="shared" si="65"/>
        <v>-1.74475</v>
      </c>
      <c r="V85" s="24">
        <f t="shared" si="65"/>
        <v>9.75</v>
      </c>
      <c r="W85" s="13">
        <f t="shared" si="65"/>
        <v>81.50938533298131</v>
      </c>
      <c r="X85" s="24">
        <f t="shared" si="65"/>
        <v>9.5</v>
      </c>
      <c r="Y85" s="13">
        <f t="shared" si="65"/>
        <v>77.31086616070354</v>
      </c>
      <c r="Z85" s="24">
        <f t="shared" si="65"/>
        <v>8.5</v>
      </c>
      <c r="AA85" s="13">
        <f t="shared" si="65"/>
        <v>79.85552850383573</v>
      </c>
      <c r="AB85" s="24">
        <f t="shared" si="65"/>
        <v>9.25</v>
      </c>
      <c r="AC85" s="13">
        <f t="shared" si="65"/>
        <v>88.59095010957846</v>
      </c>
      <c r="AD85" s="24">
        <f t="shared" si="65"/>
        <v>-9</v>
      </c>
      <c r="AE85" s="13">
        <f t="shared" si="65"/>
        <v>48.533423854964234</v>
      </c>
      <c r="AF85" s="24">
        <f t="shared" si="65"/>
        <v>-23</v>
      </c>
      <c r="AG85" s="13">
        <f t="shared" si="65"/>
        <v>49.415431875677626</v>
      </c>
      <c r="AH85" s="24">
        <f t="shared" si="65"/>
        <v>-14.5</v>
      </c>
      <c r="AI85" s="13">
        <f t="shared" si="65"/>
        <v>49.856447241490194</v>
      </c>
      <c r="AJ85" s="24">
        <f t="shared" si="65"/>
        <v>13.75</v>
      </c>
      <c r="AK85" s="13">
        <f t="shared" si="65"/>
        <v>46.65463452365606</v>
      </c>
      <c r="AL85" s="24">
        <f t="shared" si="65"/>
        <v>-18.5</v>
      </c>
      <c r="AM85" s="13">
        <f t="shared" si="65"/>
        <v>54.03387017689436</v>
      </c>
      <c r="AN85" s="24">
        <f t="shared" si="65"/>
        <v>-31.5</v>
      </c>
      <c r="AO85" s="13">
        <f t="shared" si="65"/>
        <v>50.17046139019395</v>
      </c>
      <c r="AP85" s="24">
        <f t="shared" si="65"/>
        <v>-23</v>
      </c>
      <c r="AQ85" s="13">
        <f t="shared" si="65"/>
        <v>53.49809361936699</v>
      </c>
      <c r="AR85" s="24">
        <f t="shared" si="65"/>
        <v>3</v>
      </c>
      <c r="AS85" s="13">
        <f t="shared" si="65"/>
        <v>60.15488314701928</v>
      </c>
      <c r="AT85" s="13">
        <f t="shared" si="65"/>
        <v>11.699795205396942</v>
      </c>
      <c r="AU85" s="13">
        <f t="shared" si="65"/>
        <v>77.16931694976509</v>
      </c>
      <c r="AV85" s="13">
        <f t="shared" si="65"/>
        <v>9.443440549331406</v>
      </c>
      <c r="AW85" s="24">
        <f t="shared" si="57"/>
        <v>2.256354656065536</v>
      </c>
      <c r="AX85" s="13">
        <f>AVERAGE(AX81:AX84)</f>
        <v>1.6874472955065656</v>
      </c>
      <c r="AY85" s="13">
        <f>AVERAGE(AY81:AY84)</f>
        <v>18.199044512839357</v>
      </c>
      <c r="AZ85" s="13">
        <f>AVERAGE(AZ81:AZ84)</f>
        <v>74.1203086958519</v>
      </c>
      <c r="BA85" s="13">
        <f>AVERAGE(BA81:BA84)</f>
        <v>6.489733106711379</v>
      </c>
      <c r="BB85" s="24">
        <f t="shared" si="58"/>
        <v>11.709311406127979</v>
      </c>
      <c r="BC85" s="13">
        <f>AVERAGE(BC81:BC84)</f>
        <v>1.1909136845973634</v>
      </c>
      <c r="BD85" s="13">
        <f>AVERAGE(BD81:BD84)</f>
        <v>51.21411075710419</v>
      </c>
      <c r="BE85" s="13">
        <f>AVERAGE(BE81:BE84)</f>
        <v>43.708447669386175</v>
      </c>
      <c r="BF85" s="13">
        <f>AVERAGE(BF81:BF84)</f>
        <v>4.403856424611871</v>
      </c>
      <c r="BG85" s="24">
        <f t="shared" si="59"/>
        <v>46.81025433249231</v>
      </c>
      <c r="BH85" s="13">
        <f>AVERAGE(BH81:BH84)</f>
        <v>0.6735851488977699</v>
      </c>
      <c r="BI85" s="13">
        <f>AVERAGE(BI81:BI84)</f>
        <v>26.07683023422472</v>
      </c>
      <c r="BJ85" s="13">
        <f>AVERAGE(BJ81:BJ84)</f>
        <v>65.33068683287443</v>
      </c>
      <c r="BK85" s="13">
        <f>AVERAGE(BK81:BK84)</f>
        <v>7.319051031569419</v>
      </c>
      <c r="BL85" s="24">
        <f t="shared" si="60"/>
        <v>18.7577792026553</v>
      </c>
      <c r="BM85" s="13">
        <f>AVERAGE(BM81:BM84)</f>
        <v>1.2734319013314224</v>
      </c>
      <c r="BN85" s="108" t="s">
        <v>1</v>
      </c>
      <c r="BO85" s="13"/>
      <c r="BP85" s="24">
        <f aca="true" t="shared" si="66" ref="BP85:DR85">AVERAGE(BP81:BP84)</f>
        <v>-32.25</v>
      </c>
      <c r="BQ85" s="13">
        <f t="shared" si="66"/>
        <v>38.725635439226444</v>
      </c>
      <c r="BR85" s="22" t="s">
        <v>1</v>
      </c>
      <c r="BS85" s="22" t="s">
        <v>1</v>
      </c>
      <c r="BT85" s="22" t="s">
        <v>1</v>
      </c>
      <c r="BU85" s="22" t="s">
        <v>1</v>
      </c>
      <c r="BV85" s="24">
        <f t="shared" si="66"/>
        <v>-11.25</v>
      </c>
      <c r="BW85" s="13">
        <f t="shared" si="66"/>
        <v>29.65310736074909</v>
      </c>
      <c r="BX85" s="24">
        <f t="shared" si="66"/>
        <v>-39.25</v>
      </c>
      <c r="BY85" s="13">
        <f t="shared" si="66"/>
        <v>41.907863633975936</v>
      </c>
      <c r="BZ85" s="24">
        <f t="shared" si="66"/>
        <v>-45.5</v>
      </c>
      <c r="CA85" s="13">
        <f t="shared" si="66"/>
        <v>37.339155241522924</v>
      </c>
      <c r="CB85" s="21">
        <f t="shared" si="66"/>
        <v>-7.337000000000001</v>
      </c>
      <c r="CC85" s="22" t="s">
        <v>1</v>
      </c>
      <c r="CD85" s="22" t="s">
        <v>1</v>
      </c>
      <c r="CE85" s="22" t="s">
        <v>1</v>
      </c>
      <c r="CF85" s="22" t="s">
        <v>1</v>
      </c>
      <c r="CG85" s="22" t="s">
        <v>1</v>
      </c>
      <c r="CH85" s="22" t="s">
        <v>1</v>
      </c>
      <c r="CI85" s="24">
        <f t="shared" si="66"/>
        <v>-25.75</v>
      </c>
      <c r="CJ85" s="13">
        <f t="shared" si="66"/>
        <v>34.452499046165585</v>
      </c>
      <c r="CK85" s="21">
        <f t="shared" si="66"/>
        <v>-2.46225</v>
      </c>
      <c r="CL85" s="24">
        <f t="shared" si="66"/>
        <v>-52.5</v>
      </c>
      <c r="CM85" s="8">
        <f t="shared" si="66"/>
        <v>38.351662301733214</v>
      </c>
      <c r="CN85" s="21">
        <f t="shared" si="66"/>
        <v>-9.046999999999999</v>
      </c>
      <c r="CO85" s="24">
        <f t="shared" si="66"/>
        <v>9.5</v>
      </c>
      <c r="CP85" s="13">
        <f t="shared" si="66"/>
        <v>77.68866649197548</v>
      </c>
      <c r="CQ85" s="22" t="s">
        <v>1</v>
      </c>
      <c r="CR85" s="22" t="s">
        <v>1</v>
      </c>
      <c r="CS85" s="22" t="s">
        <v>1</v>
      </c>
      <c r="CT85" s="22" t="s">
        <v>1</v>
      </c>
      <c r="CU85" s="24">
        <f t="shared" si="66"/>
        <v>6.75</v>
      </c>
      <c r="CV85" s="13">
        <f t="shared" si="66"/>
        <v>89.527299275799</v>
      </c>
      <c r="CW85" s="13">
        <f t="shared" si="66"/>
        <v>10.5</v>
      </c>
      <c r="CX85" s="13">
        <f t="shared" si="66"/>
        <v>73.5362151899684</v>
      </c>
      <c r="CY85" s="24">
        <f t="shared" si="66"/>
        <v>-15.75</v>
      </c>
      <c r="CZ85" s="13">
        <f t="shared" si="66"/>
        <v>51.148795232597</v>
      </c>
      <c r="DA85" s="22" t="s">
        <v>1</v>
      </c>
      <c r="DB85" s="22" t="s">
        <v>1</v>
      </c>
      <c r="DC85" s="22" t="s">
        <v>1</v>
      </c>
      <c r="DD85" s="22" t="s">
        <v>1</v>
      </c>
      <c r="DE85" s="24">
        <f t="shared" si="66"/>
        <v>4.75</v>
      </c>
      <c r="DF85" s="13">
        <f t="shared" si="66"/>
        <v>51.47095529636616</v>
      </c>
      <c r="DG85" s="24">
        <f t="shared" si="66"/>
        <v>-22.75</v>
      </c>
      <c r="DH85" s="13">
        <f t="shared" si="66"/>
        <v>51.035796206385065</v>
      </c>
      <c r="DI85" s="24">
        <f t="shared" si="66"/>
        <v>-24</v>
      </c>
      <c r="DJ85" s="13">
        <f t="shared" si="66"/>
        <v>53.12160590592046</v>
      </c>
      <c r="DK85" s="22" t="s">
        <v>1</v>
      </c>
      <c r="DL85" s="22" t="s">
        <v>1</v>
      </c>
      <c r="DM85" s="22" t="s">
        <v>1</v>
      </c>
      <c r="DN85" s="22" t="s">
        <v>1</v>
      </c>
      <c r="DO85" s="24">
        <f t="shared" si="66"/>
        <v>-1.5</v>
      </c>
      <c r="DP85" s="13">
        <f t="shared" si="66"/>
        <v>61.492412113518775</v>
      </c>
      <c r="DQ85" s="13">
        <f t="shared" si="66"/>
        <v>-32.5</v>
      </c>
      <c r="DR85" s="13">
        <f t="shared" si="66"/>
        <v>50.185509671641945</v>
      </c>
      <c r="DS85" s="22" t="s">
        <v>1</v>
      </c>
      <c r="DT85" s="22" t="s">
        <v>1</v>
      </c>
      <c r="DU85" s="22" t="s">
        <v>1</v>
      </c>
      <c r="DV85" s="22" t="s">
        <v>1</v>
      </c>
      <c r="DW85" s="22" t="s">
        <v>1</v>
      </c>
      <c r="DX85" s="22" t="s">
        <v>1</v>
      </c>
      <c r="DY85" s="22" t="s">
        <v>1</v>
      </c>
      <c r="DZ85" s="22" t="s">
        <v>1</v>
      </c>
      <c r="EA85" s="22" t="s">
        <v>1</v>
      </c>
      <c r="EB85" s="22" t="s">
        <v>1</v>
      </c>
      <c r="EC85" s="13">
        <f aca="true" t="shared" si="67" ref="EC85:EO85">AVERAGE(EC81:EC84)</f>
        <v>51.75233644859813</v>
      </c>
      <c r="ED85" s="13">
        <f t="shared" si="67"/>
        <v>43.39741555445414</v>
      </c>
      <c r="EE85" s="13">
        <f t="shared" si="67"/>
        <v>3.864321957446505</v>
      </c>
      <c r="EF85" s="13">
        <f t="shared" si="67"/>
        <v>47.88801449115163</v>
      </c>
      <c r="EG85" s="13">
        <f t="shared" si="67"/>
        <v>0.9859260395012249</v>
      </c>
      <c r="EH85" s="13">
        <f t="shared" si="67"/>
        <v>22.25904188977603</v>
      </c>
      <c r="EI85" s="13">
        <f t="shared" si="67"/>
        <v>67.30688212325728</v>
      </c>
      <c r="EJ85" s="13">
        <f t="shared" si="67"/>
        <v>8.799227963677811</v>
      </c>
      <c r="EK85" s="13">
        <f t="shared" si="67"/>
        <v>13.459813926098217</v>
      </c>
      <c r="EL85" s="13">
        <f t="shared" si="67"/>
        <v>1.6348480232888676</v>
      </c>
      <c r="EM85" s="13">
        <f t="shared" si="67"/>
        <v>11.914142134239839</v>
      </c>
      <c r="EN85" s="13">
        <f t="shared" si="67"/>
        <v>75.6932302258509</v>
      </c>
      <c r="EO85" s="13">
        <f t="shared" si="67"/>
        <v>10.530167443349669</v>
      </c>
      <c r="EP85" s="24">
        <f t="shared" si="64"/>
        <v>1.3839746908901702</v>
      </c>
      <c r="EQ85" s="13">
        <f>AVERAGE(EQ81:EQ84)</f>
        <v>1.862460196559582</v>
      </c>
      <c r="ER85" s="120" t="s">
        <v>1</v>
      </c>
    </row>
    <row r="86" spans="1:148" ht="12">
      <c r="A86" s="1" t="s">
        <v>283</v>
      </c>
      <c r="B86" s="24">
        <f>3-38</f>
        <v>-35</v>
      </c>
      <c r="C86" s="8">
        <v>58.646694593373304</v>
      </c>
      <c r="D86" s="23">
        <f>2-30</f>
        <v>-28</v>
      </c>
      <c r="E86" s="8">
        <v>68.19435910410718</v>
      </c>
      <c r="F86" s="23">
        <f>3-27</f>
        <v>-24</v>
      </c>
      <c r="G86" s="8">
        <v>69.94468085106384</v>
      </c>
      <c r="H86" s="23">
        <f>4-55</f>
        <v>-51</v>
      </c>
      <c r="I86" s="8">
        <v>40.17044759958785</v>
      </c>
      <c r="J86" s="23">
        <f>8-26</f>
        <v>-18</v>
      </c>
      <c r="K86" s="8">
        <v>65.53168622757416</v>
      </c>
      <c r="L86" s="20">
        <v>-2.753</v>
      </c>
      <c r="M86" s="23">
        <f>1-25</f>
        <v>-24</v>
      </c>
      <c r="N86" s="8">
        <v>74.49307839664583</v>
      </c>
      <c r="O86" s="20">
        <v>-4.05</v>
      </c>
      <c r="P86" s="23">
        <f>4-22</f>
        <v>-18</v>
      </c>
      <c r="Q86" s="8">
        <v>73.31063829787234</v>
      </c>
      <c r="R86" s="20">
        <v>-2.36</v>
      </c>
      <c r="S86" s="23">
        <f>20-31</f>
        <v>-11</v>
      </c>
      <c r="T86" s="8">
        <v>49.349469970835294</v>
      </c>
      <c r="U86" s="20">
        <v>-1.034</v>
      </c>
      <c r="V86" s="23">
        <f>7-1</f>
        <v>6</v>
      </c>
      <c r="W86" s="10">
        <v>91.17255529365787</v>
      </c>
      <c r="X86" s="23">
        <f>10-2</f>
        <v>8</v>
      </c>
      <c r="Y86" s="10">
        <v>88.24110552884905</v>
      </c>
      <c r="Z86" s="23">
        <f>9-1</f>
        <v>8</v>
      </c>
      <c r="AA86" s="10">
        <v>89.20851063829788</v>
      </c>
      <c r="AB86" s="23">
        <f>3-1</f>
        <v>2</v>
      </c>
      <c r="AC86" s="10">
        <v>96.22779902551474</v>
      </c>
      <c r="AD86" s="23">
        <f>18-9</f>
        <v>9</v>
      </c>
      <c r="AE86" s="10">
        <v>72.20112113921424</v>
      </c>
      <c r="AF86" s="23">
        <f>9-11</f>
        <v>-2</v>
      </c>
      <c r="AG86" s="10">
        <v>80.50023493692848</v>
      </c>
      <c r="AH86" s="23">
        <f>10-10</f>
        <v>0</v>
      </c>
      <c r="AI86" s="10">
        <v>79.11063829787234</v>
      </c>
      <c r="AJ86" s="23">
        <f>36-7</f>
        <v>29</v>
      </c>
      <c r="AK86" s="10">
        <v>57.335708422835786</v>
      </c>
      <c r="AL86" s="23">
        <f>11-13</f>
        <v>-2</v>
      </c>
      <c r="AM86" s="10">
        <v>76.37180786751505</v>
      </c>
      <c r="AN86" s="23">
        <f>6-13</f>
        <v>-7</v>
      </c>
      <c r="AO86" s="10">
        <v>80.66529318923868</v>
      </c>
      <c r="AP86" s="23">
        <f>10-12</f>
        <v>-2</v>
      </c>
      <c r="AQ86" s="10">
        <v>78.28510638297873</v>
      </c>
      <c r="AR86" s="23">
        <f>17-14</f>
        <v>3</v>
      </c>
      <c r="AS86" s="10">
        <v>69.36309180768761</v>
      </c>
      <c r="AT86" s="25">
        <v>3.1505644510307103</v>
      </c>
      <c r="AU86" s="25">
        <v>91.4495006084264</v>
      </c>
      <c r="AV86" s="25">
        <v>4.519222659967952</v>
      </c>
      <c r="AW86" s="24">
        <f aca="true" t="shared" si="68" ref="AW86:AW95">AT86-AV86</f>
        <v>-1.368658208937242</v>
      </c>
      <c r="AX86" s="25">
        <v>0.8807122805749329</v>
      </c>
      <c r="AY86" s="25">
        <v>4.829787234042553</v>
      </c>
      <c r="AZ86" s="25">
        <v>90.92340425531916</v>
      </c>
      <c r="BA86" s="25">
        <v>4.0212765957446805</v>
      </c>
      <c r="BB86" s="24">
        <f aca="true" t="shared" si="69" ref="BB86:BB95">AY86-BA86</f>
        <v>0.8085106382978724</v>
      </c>
      <c r="BC86" s="25">
        <v>0.225531914893617</v>
      </c>
      <c r="BD86" s="25">
        <v>51.05219957737378</v>
      </c>
      <c r="BE86" s="25">
        <v>42.20848395941391</v>
      </c>
      <c r="BF86" s="25">
        <v>6.739316463212308</v>
      </c>
      <c r="BG86" s="24">
        <f aca="true" t="shared" si="70" ref="BG86:BG95">BD86-BF86</f>
        <v>44.312883114161465</v>
      </c>
      <c r="BH86" s="12">
        <v>0</v>
      </c>
      <c r="BI86" s="8">
        <v>20.140814108279088</v>
      </c>
      <c r="BJ86" s="8">
        <v>74.15639769909991</v>
      </c>
      <c r="BK86" s="8">
        <v>5.224044650163042</v>
      </c>
      <c r="BL86" s="24">
        <f aca="true" t="shared" si="71" ref="BL86:BL95">BI86-BK86</f>
        <v>14.916769458116047</v>
      </c>
      <c r="BM86" s="8">
        <v>0.47874354245795725</v>
      </c>
      <c r="BN86" s="108" t="s">
        <v>1</v>
      </c>
      <c r="BO86" s="8"/>
      <c r="BP86" s="24">
        <f>5-41</f>
        <v>-36</v>
      </c>
      <c r="BQ86" s="8">
        <v>54.074302551157075</v>
      </c>
      <c r="BR86" s="22" t="s">
        <v>1</v>
      </c>
      <c r="BS86" s="22" t="s">
        <v>1</v>
      </c>
      <c r="BT86" s="22" t="s">
        <v>1</v>
      </c>
      <c r="BU86" s="22" t="s">
        <v>1</v>
      </c>
      <c r="BV86" s="24">
        <f>9-51</f>
        <v>-42</v>
      </c>
      <c r="BW86" s="8">
        <v>40.62081385635173</v>
      </c>
      <c r="BX86" s="24">
        <f>3-38</f>
        <v>-35</v>
      </c>
      <c r="BY86" s="8">
        <v>59.14368501535697</v>
      </c>
      <c r="BZ86" s="24">
        <f>7-31</f>
        <v>-24</v>
      </c>
      <c r="CA86" s="8">
        <v>62.19210834142773</v>
      </c>
      <c r="CB86" s="20">
        <v>-3.694</v>
      </c>
      <c r="CC86" s="22" t="s">
        <v>1</v>
      </c>
      <c r="CD86" s="22" t="s">
        <v>1</v>
      </c>
      <c r="CE86" s="22" t="s">
        <v>1</v>
      </c>
      <c r="CF86" s="22" t="s">
        <v>1</v>
      </c>
      <c r="CG86" s="22" t="s">
        <v>1</v>
      </c>
      <c r="CH86" s="22" t="s">
        <v>1</v>
      </c>
      <c r="CI86" s="24">
        <f>17-36</f>
        <v>-19</v>
      </c>
      <c r="CJ86" s="8">
        <v>46.8706387900737</v>
      </c>
      <c r="CK86" s="21">
        <v>-1.583</v>
      </c>
      <c r="CL86" s="24">
        <f>3-29</f>
        <v>-26</v>
      </c>
      <c r="CM86" s="8">
        <v>67.96536097733302</v>
      </c>
      <c r="CN86" s="21">
        <v>-4.489</v>
      </c>
      <c r="CO86" s="24">
        <f>11-3</f>
        <v>8</v>
      </c>
      <c r="CP86" s="10">
        <v>86.02856624918492</v>
      </c>
      <c r="CQ86" s="22" t="s">
        <v>1</v>
      </c>
      <c r="CR86" s="22" t="s">
        <v>1</v>
      </c>
      <c r="CS86" s="22" t="s">
        <v>1</v>
      </c>
      <c r="CT86" s="22" t="s">
        <v>1</v>
      </c>
      <c r="CU86" s="24">
        <f>3-2</f>
        <v>1</v>
      </c>
      <c r="CV86" s="10">
        <v>94.89300772927916</v>
      </c>
      <c r="CW86" s="8">
        <f>14-4</f>
        <v>10</v>
      </c>
      <c r="CX86" s="8">
        <v>82.68837358886276</v>
      </c>
      <c r="CY86" s="24">
        <f>24-10</f>
        <v>14</v>
      </c>
      <c r="CZ86" s="10">
        <v>66.02727655617696</v>
      </c>
      <c r="DA86" s="22" t="s">
        <v>1</v>
      </c>
      <c r="DB86" s="22" t="s">
        <v>1</v>
      </c>
      <c r="DC86" s="22" t="s">
        <v>1</v>
      </c>
      <c r="DD86" s="22" t="s">
        <v>1</v>
      </c>
      <c r="DE86" s="24">
        <f>36-7</f>
        <v>29</v>
      </c>
      <c r="DF86" s="25">
        <v>56.70400864703837</v>
      </c>
      <c r="DG86" s="24">
        <f>19-12</f>
        <v>7</v>
      </c>
      <c r="DH86" s="8">
        <v>69.54035869567242</v>
      </c>
      <c r="DI86" s="24">
        <f>18-12</f>
        <v>6</v>
      </c>
      <c r="DJ86" s="25">
        <v>69.69933919016297</v>
      </c>
      <c r="DK86" s="22" t="s">
        <v>1</v>
      </c>
      <c r="DL86" s="22" t="s">
        <v>1</v>
      </c>
      <c r="DM86" s="22" t="s">
        <v>1</v>
      </c>
      <c r="DN86" s="22" t="s">
        <v>1</v>
      </c>
      <c r="DO86" s="24">
        <f>22-7</f>
        <v>15</v>
      </c>
      <c r="DP86" s="25">
        <v>70.4128927869398</v>
      </c>
      <c r="DQ86" s="24">
        <f>16-14</f>
        <v>2</v>
      </c>
      <c r="DR86" s="8">
        <v>69.43046647076463</v>
      </c>
      <c r="DS86" s="22" t="s">
        <v>1</v>
      </c>
      <c r="DT86" s="22" t="s">
        <v>1</v>
      </c>
      <c r="DU86" s="22" t="s">
        <v>1</v>
      </c>
      <c r="DV86" s="22" t="s">
        <v>1</v>
      </c>
      <c r="DW86" s="22" t="s">
        <v>1</v>
      </c>
      <c r="DX86" s="22" t="s">
        <v>1</v>
      </c>
      <c r="DY86" s="22" t="s">
        <v>1</v>
      </c>
      <c r="DZ86" s="22" t="s">
        <v>1</v>
      </c>
      <c r="EA86" s="22" t="s">
        <v>1</v>
      </c>
      <c r="EB86" s="22" t="s">
        <v>1</v>
      </c>
      <c r="EC86" s="25">
        <v>50.03880292562526</v>
      </c>
      <c r="ED86" s="25">
        <v>46.789408037066266</v>
      </c>
      <c r="EE86" s="25">
        <v>3.1717890373084776</v>
      </c>
      <c r="EF86" s="16">
        <f>EC86-EE86</f>
        <v>46.867013888316784</v>
      </c>
      <c r="EG86" s="12">
        <v>0</v>
      </c>
      <c r="EH86" s="8">
        <v>18.21114168495235</v>
      </c>
      <c r="EI86" s="8">
        <v>75.01869152978334</v>
      </c>
      <c r="EJ86" s="8">
        <v>6.027826704942591</v>
      </c>
      <c r="EK86" s="16">
        <f>EH86-EJ86</f>
        <v>12.183314980009758</v>
      </c>
      <c r="EL86" s="23">
        <v>0.7423400803217197</v>
      </c>
      <c r="EM86" s="25">
        <v>6.218223607705866</v>
      </c>
      <c r="EN86" s="25">
        <v>85.6557120053841</v>
      </c>
      <c r="EO86" s="25">
        <v>7.1040046092648454</v>
      </c>
      <c r="EP86" s="24">
        <f t="shared" si="64"/>
        <v>-0.8857810015589793</v>
      </c>
      <c r="EQ86" s="13">
        <v>1.0220597776451896</v>
      </c>
      <c r="ER86" s="120" t="s">
        <v>1</v>
      </c>
    </row>
    <row r="87" spans="1:148" ht="12">
      <c r="A87" s="1" t="s">
        <v>36</v>
      </c>
      <c r="B87" s="24">
        <f>8-36</f>
        <v>-28</v>
      </c>
      <c r="C87" s="8">
        <v>56.225738102970965</v>
      </c>
      <c r="D87" s="23">
        <f>6-36</f>
        <v>-30</v>
      </c>
      <c r="E87" s="8">
        <v>58.28604474644884</v>
      </c>
      <c r="F87" s="23">
        <f>11-39</f>
        <v>-28</v>
      </c>
      <c r="G87" s="8">
        <v>50.13617021276596</v>
      </c>
      <c r="H87" s="23">
        <f>12-33</f>
        <v>-21</v>
      </c>
      <c r="I87" s="8">
        <v>55.00284875312267</v>
      </c>
      <c r="J87" s="23">
        <f>6-38</f>
        <v>-32</v>
      </c>
      <c r="K87" s="8">
        <v>55.57385669435037</v>
      </c>
      <c r="L87" s="20">
        <v>-3.288</v>
      </c>
      <c r="M87" s="23">
        <f>3-39</f>
        <v>-36</v>
      </c>
      <c r="N87" s="8">
        <v>58.0511078179781</v>
      </c>
      <c r="O87" s="20">
        <v>-5.226</v>
      </c>
      <c r="P87" s="23">
        <f>12-37</f>
        <v>-25</v>
      </c>
      <c r="Q87" s="8">
        <v>50.8936170212766</v>
      </c>
      <c r="R87" s="20">
        <v>-2.763</v>
      </c>
      <c r="S87" s="23">
        <f>11-38</f>
        <v>-27</v>
      </c>
      <c r="T87" s="8">
        <v>51.38274093877372</v>
      </c>
      <c r="U87" s="20">
        <v>-0.695</v>
      </c>
      <c r="V87" s="23">
        <f>9-7</f>
        <v>2</v>
      </c>
      <c r="W87" s="10">
        <v>83.17480938461776</v>
      </c>
      <c r="X87" s="23">
        <f>8-9</f>
        <v>-1</v>
      </c>
      <c r="Y87" s="10">
        <v>82.45442825990048</v>
      </c>
      <c r="Z87" s="23">
        <f>11-6</f>
        <v>5</v>
      </c>
      <c r="AA87" s="10">
        <v>82.28936170212766</v>
      </c>
      <c r="AB87" s="23">
        <f>11-2</f>
        <v>9</v>
      </c>
      <c r="AC87" s="10">
        <v>86.7072796599027</v>
      </c>
      <c r="AD87" s="23">
        <f>11-29</f>
        <v>-18</v>
      </c>
      <c r="AE87" s="10">
        <v>59.86405604788197</v>
      </c>
      <c r="AF87" s="23">
        <f>11-27</f>
        <v>-16</v>
      </c>
      <c r="AG87" s="10">
        <v>61.81732750207829</v>
      </c>
      <c r="AH87" s="23">
        <f>13-33</f>
        <v>-20</v>
      </c>
      <c r="AI87" s="10">
        <v>53.96170212765957</v>
      </c>
      <c r="AJ87" s="23">
        <f>11-30</f>
        <v>-19</v>
      </c>
      <c r="AK87" s="10">
        <v>58.837708725949945</v>
      </c>
      <c r="AL87" s="23">
        <f>9-29</f>
        <v>-20</v>
      </c>
      <c r="AM87" s="10">
        <v>62.31305773364883</v>
      </c>
      <c r="AN87" s="23">
        <f>9-27</f>
        <v>-18</v>
      </c>
      <c r="AO87" s="10">
        <v>64.01489138685076</v>
      </c>
      <c r="AP87" s="23">
        <f>11-31</f>
        <v>-20</v>
      </c>
      <c r="AQ87" s="10">
        <v>58.0936170212766</v>
      </c>
      <c r="AR87" s="23">
        <f>8-31</f>
        <v>-23</v>
      </c>
      <c r="AS87" s="10">
        <v>60.468072051540524</v>
      </c>
      <c r="AT87" s="25">
        <v>7.186660401681907</v>
      </c>
      <c r="AU87" s="25">
        <v>88.15797400031325</v>
      </c>
      <c r="AV87" s="25">
        <v>4.330068312429971</v>
      </c>
      <c r="AW87" s="24">
        <f t="shared" si="68"/>
        <v>2.8565920892519365</v>
      </c>
      <c r="AX87" s="25">
        <v>0.3252972855748726</v>
      </c>
      <c r="AY87" s="25">
        <v>14.459574468085107</v>
      </c>
      <c r="AZ87" s="25">
        <v>78.03404255319148</v>
      </c>
      <c r="BA87" s="25">
        <v>4.3446808510638295</v>
      </c>
      <c r="BB87" s="24">
        <f t="shared" si="69"/>
        <v>10.114893617021277</v>
      </c>
      <c r="BC87" s="25">
        <v>3.161702127659574</v>
      </c>
      <c r="BD87" s="25">
        <v>23.675329797957666</v>
      </c>
      <c r="BE87" s="25">
        <v>72.12604636893545</v>
      </c>
      <c r="BF87" s="25">
        <v>2.923258973572336</v>
      </c>
      <c r="BG87" s="24">
        <f t="shared" si="70"/>
        <v>20.752070824385328</v>
      </c>
      <c r="BH87" s="25">
        <v>1.2753648595345577</v>
      </c>
      <c r="BI87" s="8">
        <v>11.417590745294545</v>
      </c>
      <c r="BJ87" s="8">
        <v>83.48953741938477</v>
      </c>
      <c r="BK87" s="8">
        <v>4.084504863978719</v>
      </c>
      <c r="BL87" s="24">
        <f t="shared" si="71"/>
        <v>7.333085881315826</v>
      </c>
      <c r="BM87" s="8">
        <v>1.0083669713419632</v>
      </c>
      <c r="BN87" s="108" t="s">
        <v>1</v>
      </c>
      <c r="BO87" s="8"/>
      <c r="BP87" s="24">
        <f>20-32</f>
        <v>-12</v>
      </c>
      <c r="BQ87" s="8">
        <v>47.99051399226725</v>
      </c>
      <c r="BR87" s="22" t="s">
        <v>1</v>
      </c>
      <c r="BS87" s="22" t="s">
        <v>1</v>
      </c>
      <c r="BT87" s="22" t="s">
        <v>1</v>
      </c>
      <c r="BU87" s="22" t="s">
        <v>1</v>
      </c>
      <c r="BV87" s="24">
        <f>38-26</f>
        <v>12</v>
      </c>
      <c r="BW87" s="8">
        <v>35.59818293561021</v>
      </c>
      <c r="BX87" s="24">
        <f>14-34</f>
        <v>-20</v>
      </c>
      <c r="BY87" s="8">
        <v>52.66004374579756</v>
      </c>
      <c r="BZ87" s="24">
        <f>13-38</f>
        <v>-25</v>
      </c>
      <c r="CA87" s="8">
        <v>49.17216139019887</v>
      </c>
      <c r="CB87" s="20">
        <v>-3.853</v>
      </c>
      <c r="CC87" s="22" t="s">
        <v>1</v>
      </c>
      <c r="CD87" s="22" t="s">
        <v>1</v>
      </c>
      <c r="CE87" s="22" t="s">
        <v>1</v>
      </c>
      <c r="CF87" s="22" t="s">
        <v>1</v>
      </c>
      <c r="CG87" s="22" t="s">
        <v>1</v>
      </c>
      <c r="CH87" s="22" t="s">
        <v>1</v>
      </c>
      <c r="CI87" s="24">
        <f>24-39</f>
        <v>-15</v>
      </c>
      <c r="CJ87" s="8">
        <v>37.37240757736282</v>
      </c>
      <c r="CK87" s="21">
        <v>-1.558</v>
      </c>
      <c r="CL87" s="24">
        <f>9-37</f>
        <v>-28</v>
      </c>
      <c r="CM87" s="8">
        <v>53.618403284597896</v>
      </c>
      <c r="CN87" s="21">
        <v>-4.717</v>
      </c>
      <c r="CO87" s="24">
        <f>12-6</f>
        <v>6</v>
      </c>
      <c r="CP87" s="10">
        <v>81.74214076412957</v>
      </c>
      <c r="CQ87" s="22" t="s">
        <v>1</v>
      </c>
      <c r="CR87" s="22" t="s">
        <v>1</v>
      </c>
      <c r="CS87" s="22" t="s">
        <v>1</v>
      </c>
      <c r="CT87" s="22" t="s">
        <v>1</v>
      </c>
      <c r="CU87" s="24">
        <f>5-3</f>
        <v>2</v>
      </c>
      <c r="CV87" s="10">
        <v>92.41769413408511</v>
      </c>
      <c r="CW87" s="8">
        <f>15-7</f>
        <v>8</v>
      </c>
      <c r="CX87" s="8">
        <v>77.71950661495316</v>
      </c>
      <c r="CY87" s="24">
        <f>16-24</f>
        <v>-8</v>
      </c>
      <c r="CZ87" s="10">
        <v>59.23330005384243</v>
      </c>
      <c r="DA87" s="22" t="s">
        <v>1</v>
      </c>
      <c r="DB87" s="22" t="s">
        <v>1</v>
      </c>
      <c r="DC87" s="22" t="s">
        <v>1</v>
      </c>
      <c r="DD87" s="22" t="s">
        <v>1</v>
      </c>
      <c r="DE87" s="24">
        <f>27-15</f>
        <v>12</v>
      </c>
      <c r="DF87" s="25">
        <v>58.23981361414239</v>
      </c>
      <c r="DG87" s="24">
        <f>12-28</f>
        <v>-16</v>
      </c>
      <c r="DH87" s="8">
        <v>59.60765371407781</v>
      </c>
      <c r="DI87" s="24">
        <f>12-27</f>
        <v>-15</v>
      </c>
      <c r="DJ87" s="25">
        <v>61.52475985104496</v>
      </c>
      <c r="DK87" s="22" t="s">
        <v>1</v>
      </c>
      <c r="DL87" s="22" t="s">
        <v>1</v>
      </c>
      <c r="DM87" s="22" t="s">
        <v>1</v>
      </c>
      <c r="DN87" s="22" t="s">
        <v>1</v>
      </c>
      <c r="DO87" s="24">
        <f>21-17</f>
        <v>4</v>
      </c>
      <c r="DP87" s="25">
        <v>62.00691038089479</v>
      </c>
      <c r="DQ87" s="24">
        <f>8-31</f>
        <v>-23</v>
      </c>
      <c r="DR87" s="8">
        <v>61.34308166358202</v>
      </c>
      <c r="DS87" s="22" t="s">
        <v>1</v>
      </c>
      <c r="DT87" s="22" t="s">
        <v>1</v>
      </c>
      <c r="DU87" s="22" t="s">
        <v>1</v>
      </c>
      <c r="DV87" s="22" t="s">
        <v>1</v>
      </c>
      <c r="DW87" s="22" t="s">
        <v>1</v>
      </c>
      <c r="DX87" s="22" t="s">
        <v>1</v>
      </c>
      <c r="DY87" s="22" t="s">
        <v>1</v>
      </c>
      <c r="DZ87" s="22" t="s">
        <v>1</v>
      </c>
      <c r="EA87" s="22" t="s">
        <v>1</v>
      </c>
      <c r="EB87" s="22" t="s">
        <v>1</v>
      </c>
      <c r="EC87" s="25">
        <v>46.27730827976992</v>
      </c>
      <c r="ED87" s="25">
        <v>48.46773755052207</v>
      </c>
      <c r="EE87" s="25">
        <v>4.207687098480342</v>
      </c>
      <c r="EF87" s="16">
        <f>EC87-EE87</f>
        <v>42.06962118128958</v>
      </c>
      <c r="EG87" s="25">
        <v>1.047267071227672</v>
      </c>
      <c r="EH87" s="8">
        <v>19.735053765768303</v>
      </c>
      <c r="EI87" s="8">
        <v>71.7373247077222</v>
      </c>
      <c r="EJ87" s="8">
        <v>7.015028080134128</v>
      </c>
      <c r="EK87" s="16">
        <f>EH87-EJ87</f>
        <v>12.720025685634175</v>
      </c>
      <c r="EL87" s="23">
        <v>1.5125934463753763</v>
      </c>
      <c r="EM87" s="25">
        <v>9.733719342707905</v>
      </c>
      <c r="EN87" s="25">
        <v>80.50549181737526</v>
      </c>
      <c r="EO87" s="25">
        <v>8.07285668253378</v>
      </c>
      <c r="EP87" s="24">
        <f t="shared" si="64"/>
        <v>1.660862660174125</v>
      </c>
      <c r="EQ87" s="13">
        <v>1.6879321573830504</v>
      </c>
      <c r="ER87" s="120" t="s">
        <v>1</v>
      </c>
    </row>
    <row r="88" spans="1:148" ht="12">
      <c r="A88" s="1" t="s">
        <v>32</v>
      </c>
      <c r="B88" s="24">
        <f>12-45</f>
        <v>-33</v>
      </c>
      <c r="C88" s="8">
        <v>43.6110982229852</v>
      </c>
      <c r="D88" s="23">
        <f>10-45</f>
        <v>-35</v>
      </c>
      <c r="E88" s="8">
        <v>45.13319116637149</v>
      </c>
      <c r="F88" s="23">
        <f>13-43</f>
        <v>-30</v>
      </c>
      <c r="G88" s="8">
        <v>44.293617021276596</v>
      </c>
      <c r="H88" s="23">
        <f>18-45</f>
        <v>-27</v>
      </c>
      <c r="I88" s="8">
        <v>37.371258272340796</v>
      </c>
      <c r="J88" s="23">
        <f>10-45</f>
        <v>-35</v>
      </c>
      <c r="K88" s="8">
        <v>45.00069595879924</v>
      </c>
      <c r="L88" s="20">
        <v>-3.76</v>
      </c>
      <c r="M88" s="23">
        <f>7-45</f>
        <v>-38</v>
      </c>
      <c r="N88" s="8">
        <v>47.47653642727196</v>
      </c>
      <c r="O88" s="20">
        <v>-5.398</v>
      </c>
      <c r="P88" s="23">
        <f>17-43</f>
        <v>-26</v>
      </c>
      <c r="Q88" s="8">
        <v>41.43404255319149</v>
      </c>
      <c r="R88" s="20">
        <v>-3.475</v>
      </c>
      <c r="S88" s="23">
        <f>15-46</f>
        <v>-31</v>
      </c>
      <c r="T88" s="8">
        <v>39.667791558925366</v>
      </c>
      <c r="U88" s="20">
        <v>-1.504</v>
      </c>
      <c r="V88" s="23">
        <f>13-7</f>
        <v>6</v>
      </c>
      <c r="W88" s="10">
        <v>79.36868804033467</v>
      </c>
      <c r="X88" s="23">
        <f>16-9</f>
        <v>7</v>
      </c>
      <c r="Y88" s="10">
        <v>75.76535222467199</v>
      </c>
      <c r="Z88" s="23">
        <f>14-5</f>
        <v>9</v>
      </c>
      <c r="AA88" s="10">
        <v>80.93191489361702</v>
      </c>
      <c r="AB88" s="23">
        <f>5-4</f>
        <v>1</v>
      </c>
      <c r="AC88" s="10">
        <v>90.86645921900337</v>
      </c>
      <c r="AD88" s="23">
        <f>27-21</f>
        <v>6</v>
      </c>
      <c r="AE88" s="10">
        <v>52.49307907638534</v>
      </c>
      <c r="AF88" s="23">
        <f>24-22</f>
        <v>2</v>
      </c>
      <c r="AG88" s="10">
        <v>54.71500343369357</v>
      </c>
      <c r="AH88" s="23">
        <f>29-21</f>
        <v>8</v>
      </c>
      <c r="AI88" s="10">
        <v>49.646808510638294</v>
      </c>
      <c r="AJ88" s="23">
        <f>37-16</f>
        <v>21</v>
      </c>
      <c r="AK88" s="10">
        <v>47.34189420169172</v>
      </c>
      <c r="AL88" s="23">
        <f>20-25</f>
        <v>-5</v>
      </c>
      <c r="AM88" s="10">
        <v>55.54369847971666</v>
      </c>
      <c r="AN88" s="23">
        <f>16-26</f>
        <v>-10</v>
      </c>
      <c r="AO88" s="10">
        <v>58.15231141793472</v>
      </c>
      <c r="AP88" s="23">
        <f>22-22</f>
        <v>0</v>
      </c>
      <c r="AQ88" s="10">
        <v>56.30212765957447</v>
      </c>
      <c r="AR88" s="23">
        <f>31-24</f>
        <v>7</v>
      </c>
      <c r="AS88" s="10">
        <v>45.27326116492089</v>
      </c>
      <c r="AT88" s="25">
        <v>18.3588149540367</v>
      </c>
      <c r="AU88" s="25">
        <v>70.69071456970399</v>
      </c>
      <c r="AV88" s="25">
        <v>8.002313225141865</v>
      </c>
      <c r="AW88" s="24">
        <f t="shared" si="68"/>
        <v>10.356501728894834</v>
      </c>
      <c r="AX88" s="25">
        <v>2.9481572511174567</v>
      </c>
      <c r="AY88" s="25">
        <v>27.12340425531915</v>
      </c>
      <c r="AZ88" s="25">
        <v>64.3063829787234</v>
      </c>
      <c r="BA88" s="25">
        <v>7.212765957446808</v>
      </c>
      <c r="BB88" s="24">
        <f t="shared" si="69"/>
        <v>19.910638297872342</v>
      </c>
      <c r="BC88" s="25">
        <v>1.3574468085106384</v>
      </c>
      <c r="BD88" s="25">
        <v>26.353157733269057</v>
      </c>
      <c r="BE88" s="25">
        <v>66.08230705175964</v>
      </c>
      <c r="BF88" s="25">
        <v>5.881579524039093</v>
      </c>
      <c r="BG88" s="24">
        <f t="shared" si="70"/>
        <v>20.471578209229964</v>
      </c>
      <c r="BH88" s="25">
        <v>1.6829556909321994</v>
      </c>
      <c r="BI88" s="8">
        <v>21.36206869886636</v>
      </c>
      <c r="BJ88" s="8">
        <v>68.71742526175784</v>
      </c>
      <c r="BK88" s="8">
        <v>7.484650242039005</v>
      </c>
      <c r="BL88" s="24">
        <f t="shared" si="71"/>
        <v>13.877418456827353</v>
      </c>
      <c r="BM88" s="8">
        <v>2.4358557973367976</v>
      </c>
      <c r="BN88" s="108" t="s">
        <v>1</v>
      </c>
      <c r="BO88" s="8"/>
      <c r="BP88" s="24">
        <f>17-44</f>
        <v>-27</v>
      </c>
      <c r="BQ88" s="8">
        <v>38.51519357570543</v>
      </c>
      <c r="BR88" s="22" t="s">
        <v>1</v>
      </c>
      <c r="BS88" s="22" t="s">
        <v>1</v>
      </c>
      <c r="BT88" s="22" t="s">
        <v>1</v>
      </c>
      <c r="BU88" s="22" t="s">
        <v>1</v>
      </c>
      <c r="BV88" s="24">
        <f>40-34</f>
        <v>6</v>
      </c>
      <c r="BW88" s="8">
        <v>26.28712846816595</v>
      </c>
      <c r="BX88" s="24">
        <f>9-48</f>
        <v>-39</v>
      </c>
      <c r="BY88" s="8">
        <v>43.12282660186544</v>
      </c>
      <c r="BZ88" s="24">
        <f>12-48</f>
        <v>-36</v>
      </c>
      <c r="CA88" s="8">
        <v>39.593079308904926</v>
      </c>
      <c r="CB88" s="20">
        <v>-5.339</v>
      </c>
      <c r="CC88" s="22" t="s">
        <v>1</v>
      </c>
      <c r="CD88" s="22" t="s">
        <v>1</v>
      </c>
      <c r="CE88" s="22" t="s">
        <v>1</v>
      </c>
      <c r="CF88" s="22" t="s">
        <v>1</v>
      </c>
      <c r="CG88" s="22" t="s">
        <v>1</v>
      </c>
      <c r="CH88" s="22" t="s">
        <v>1</v>
      </c>
      <c r="CI88" s="24">
        <f>26-46</f>
        <v>-20</v>
      </c>
      <c r="CJ88" s="8">
        <v>28.104522394478288</v>
      </c>
      <c r="CK88" s="21">
        <v>-1.423</v>
      </c>
      <c r="CL88" s="24">
        <f>7-49</f>
        <v>-42</v>
      </c>
      <c r="CM88" s="8">
        <v>43.922059715559186</v>
      </c>
      <c r="CN88" s="21">
        <v>-6.815</v>
      </c>
      <c r="CO88" s="24">
        <f>11-10</f>
        <v>1</v>
      </c>
      <c r="CP88" s="10">
        <v>78.59533491884405</v>
      </c>
      <c r="CQ88" s="22" t="s">
        <v>1</v>
      </c>
      <c r="CR88" s="22" t="s">
        <v>1</v>
      </c>
      <c r="CS88" s="22" t="s">
        <v>1</v>
      </c>
      <c r="CT88" s="22" t="s">
        <v>1</v>
      </c>
      <c r="CU88" s="24">
        <f>5-3</f>
        <v>2</v>
      </c>
      <c r="CV88" s="10">
        <v>91.71001445017654</v>
      </c>
      <c r="CW88" s="8">
        <f>13-13</f>
        <v>0</v>
      </c>
      <c r="CX88" s="8">
        <v>73.6536184653706</v>
      </c>
      <c r="CY88" s="24">
        <f>26-22</f>
        <v>4</v>
      </c>
      <c r="CZ88" s="10">
        <v>51.5897946502091</v>
      </c>
      <c r="DA88" s="22" t="s">
        <v>1</v>
      </c>
      <c r="DB88" s="22" t="s">
        <v>1</v>
      </c>
      <c r="DC88" s="22" t="s">
        <v>1</v>
      </c>
      <c r="DD88" s="22" t="s">
        <v>1</v>
      </c>
      <c r="DE88" s="24">
        <f>49-17</f>
        <v>32</v>
      </c>
      <c r="DF88" s="25">
        <v>33.82972518301634</v>
      </c>
      <c r="DG88" s="24">
        <f>17-24</f>
        <v>-7</v>
      </c>
      <c r="DH88" s="8">
        <v>58.28193129687105</v>
      </c>
      <c r="DI88" s="24">
        <f>23-25</f>
        <v>-2</v>
      </c>
      <c r="DJ88" s="25">
        <v>51.77544731153121</v>
      </c>
      <c r="DK88" s="22" t="s">
        <v>1</v>
      </c>
      <c r="DL88" s="22" t="s">
        <v>1</v>
      </c>
      <c r="DM88" s="22" t="s">
        <v>1</v>
      </c>
      <c r="DN88" s="22" t="s">
        <v>1</v>
      </c>
      <c r="DO88" s="24">
        <f>38-20</f>
        <v>18</v>
      </c>
      <c r="DP88" s="25">
        <v>41.2683531247477</v>
      </c>
      <c r="DQ88" s="24">
        <f>17-27</f>
        <v>-10</v>
      </c>
      <c r="DR88" s="8">
        <v>55.73460468910745</v>
      </c>
      <c r="DS88" s="22" t="s">
        <v>1</v>
      </c>
      <c r="DT88" s="22" t="s">
        <v>1</v>
      </c>
      <c r="DU88" s="22" t="s">
        <v>1</v>
      </c>
      <c r="DV88" s="22" t="s">
        <v>1</v>
      </c>
      <c r="DW88" s="22" t="s">
        <v>1</v>
      </c>
      <c r="DX88" s="22" t="s">
        <v>1</v>
      </c>
      <c r="DY88" s="22" t="s">
        <v>1</v>
      </c>
      <c r="DZ88" s="22" t="s">
        <v>1</v>
      </c>
      <c r="EA88" s="22" t="s">
        <v>1</v>
      </c>
      <c r="EB88" s="22" t="s">
        <v>1</v>
      </c>
      <c r="EC88" s="25">
        <v>56.4586687053993</v>
      </c>
      <c r="ED88" s="25">
        <v>36.48167035472959</v>
      </c>
      <c r="EE88" s="25">
        <v>3.5161547042162553</v>
      </c>
      <c r="EF88" s="16">
        <f>EC88-EE88</f>
        <v>52.94251400118304</v>
      </c>
      <c r="EG88" s="25">
        <v>3.5435062356548634</v>
      </c>
      <c r="EH88" s="8">
        <v>28.22028678082705</v>
      </c>
      <c r="EI88" s="8">
        <v>62.24527435738566</v>
      </c>
      <c r="EJ88" s="8">
        <v>6.7782837342655196</v>
      </c>
      <c r="EK88" s="16">
        <f>EH88-EJ88</f>
        <v>21.44200304656153</v>
      </c>
      <c r="EL88" s="23">
        <v>2.756155127521778</v>
      </c>
      <c r="EM88" s="25">
        <v>17.57983794311556</v>
      </c>
      <c r="EN88" s="25">
        <v>71.95320702143022</v>
      </c>
      <c r="EO88" s="25">
        <v>8.007480121614062</v>
      </c>
      <c r="EP88" s="24">
        <f t="shared" si="64"/>
        <v>9.572357821501498</v>
      </c>
      <c r="EQ88" s="13">
        <v>2.45947491384015</v>
      </c>
      <c r="ER88" s="120" t="s">
        <v>1</v>
      </c>
    </row>
    <row r="89" spans="1:148" ht="12">
      <c r="A89" s="1" t="s">
        <v>33</v>
      </c>
      <c r="B89" s="24">
        <f>27-36</f>
        <v>-9</v>
      </c>
      <c r="C89" s="8">
        <v>37.54001763095624</v>
      </c>
      <c r="D89" s="23">
        <f>22-37</f>
        <v>-15</v>
      </c>
      <c r="E89" s="8">
        <v>40.35493548270503</v>
      </c>
      <c r="F89" s="23">
        <f>32-34</f>
        <v>-2</v>
      </c>
      <c r="G89" s="8">
        <v>34.327659574468086</v>
      </c>
      <c r="H89" s="23">
        <f>38-31</f>
        <v>7</v>
      </c>
      <c r="I89" s="8">
        <v>30.608756628829383</v>
      </c>
      <c r="J89" s="23">
        <f>12-39</f>
        <v>-27</v>
      </c>
      <c r="K89" s="8">
        <v>48.53539337137908</v>
      </c>
      <c r="L89" s="20">
        <v>-3.034</v>
      </c>
      <c r="M89" s="23">
        <f>11-41</f>
        <v>-30</v>
      </c>
      <c r="N89" s="8">
        <v>48.83796580764087</v>
      </c>
      <c r="O89" s="20">
        <v>-4.691</v>
      </c>
      <c r="P89" s="23">
        <f>13-37</f>
        <v>-24</v>
      </c>
      <c r="Q89" s="8">
        <v>48.82553191489362</v>
      </c>
      <c r="R89" s="20">
        <v>-2.993</v>
      </c>
      <c r="S89" s="23">
        <f>16-37</f>
        <v>-21</v>
      </c>
      <c r="T89" s="8">
        <v>47.135907437437</v>
      </c>
      <c r="U89" s="20">
        <v>-0.648</v>
      </c>
      <c r="V89" s="23">
        <f>15-7</f>
        <v>8</v>
      </c>
      <c r="W89" s="10">
        <v>78.22422245936373</v>
      </c>
      <c r="X89" s="23">
        <f>17-8</f>
        <v>9</v>
      </c>
      <c r="Y89" s="10">
        <v>75.32439368200383</v>
      </c>
      <c r="Z89" s="23">
        <f>14-6</f>
        <v>8</v>
      </c>
      <c r="AA89" s="10">
        <v>80.2127659574468</v>
      </c>
      <c r="AB89" s="23">
        <f>9-4</f>
        <v>5</v>
      </c>
      <c r="AC89" s="10">
        <v>86.72481044834991</v>
      </c>
      <c r="AD89" s="23">
        <f>15-36</f>
        <v>-21</v>
      </c>
      <c r="AE89" s="10">
        <v>49.50045623965728</v>
      </c>
      <c r="AF89" s="23">
        <f>12-35</f>
        <v>-23</v>
      </c>
      <c r="AG89" s="10">
        <v>52.93671160588427</v>
      </c>
      <c r="AH89" s="23">
        <f>18-36</f>
        <v>-18</v>
      </c>
      <c r="AI89" s="10">
        <v>46.25531914893617</v>
      </c>
      <c r="AJ89" s="23">
        <f>19-41</f>
        <v>-22</v>
      </c>
      <c r="AK89" s="10">
        <v>40.342726914142965</v>
      </c>
      <c r="AL89" s="23">
        <f>10-37</f>
        <v>-27</v>
      </c>
      <c r="AM89" s="10">
        <v>53.18749130051501</v>
      </c>
      <c r="AN89" s="23">
        <f>9-37</f>
        <v>-28</v>
      </c>
      <c r="AO89" s="23">
        <v>53.94633799592776</v>
      </c>
      <c r="AP89" s="23">
        <f>13-36</f>
        <v>-23</v>
      </c>
      <c r="AQ89" s="10">
        <v>50.90212765957447</v>
      </c>
      <c r="AR89" s="23">
        <f>10-37</f>
        <v>-27</v>
      </c>
      <c r="AS89" s="10">
        <v>52.78082131743875</v>
      </c>
      <c r="AT89" s="25">
        <v>16.373296707268587</v>
      </c>
      <c r="AU89" s="25">
        <v>75.05331261069144</v>
      </c>
      <c r="AV89" s="25">
        <v>5.971012397440995</v>
      </c>
      <c r="AW89" s="24">
        <f t="shared" si="68"/>
        <v>10.402284309827593</v>
      </c>
      <c r="AX89" s="25">
        <v>2.6023782845989807</v>
      </c>
      <c r="AY89" s="25">
        <v>23.485106382978724</v>
      </c>
      <c r="AZ89" s="25">
        <v>70.27659574468085</v>
      </c>
      <c r="BA89" s="25">
        <v>5.685106382978724</v>
      </c>
      <c r="BB89" s="24">
        <f t="shared" si="69"/>
        <v>17.8</v>
      </c>
      <c r="BC89" s="25">
        <v>0.5531914893617021</v>
      </c>
      <c r="BD89" s="25">
        <v>23.38607178857869</v>
      </c>
      <c r="BE89" s="25">
        <v>73.12530131042644</v>
      </c>
      <c r="BF89" s="25">
        <v>2.993382127361178</v>
      </c>
      <c r="BG89" s="24">
        <f t="shared" si="70"/>
        <v>20.39268966121751</v>
      </c>
      <c r="BH89" s="25">
        <v>0.4952447736336941</v>
      </c>
      <c r="BI89" s="8">
        <v>18.90301427488826</v>
      </c>
      <c r="BJ89" s="8">
        <v>73.84509503704048</v>
      </c>
      <c r="BK89" s="8">
        <v>5.393680694102909</v>
      </c>
      <c r="BL89" s="24">
        <f t="shared" si="71"/>
        <v>13.509333580785352</v>
      </c>
      <c r="BM89" s="8">
        <v>1.8582099939683572</v>
      </c>
      <c r="BN89" s="108" t="s">
        <v>1</v>
      </c>
      <c r="BO89" s="8"/>
      <c r="BP89" s="24">
        <f>32-31</f>
        <v>1</v>
      </c>
      <c r="BQ89" s="8">
        <v>37.822366884291085</v>
      </c>
      <c r="BR89" s="22" t="s">
        <v>1</v>
      </c>
      <c r="BS89" s="22" t="s">
        <v>1</v>
      </c>
      <c r="BT89" s="22" t="s">
        <v>1</v>
      </c>
      <c r="BU89" s="22" t="s">
        <v>1</v>
      </c>
      <c r="BV89" s="24">
        <f>55-23</f>
        <v>32</v>
      </c>
      <c r="BW89" s="8">
        <v>21.960478684753827</v>
      </c>
      <c r="BX89" s="24">
        <f>23-34</f>
        <v>-11</v>
      </c>
      <c r="BY89" s="8">
        <v>43.799253602074664</v>
      </c>
      <c r="BZ89" s="24">
        <f>16-42</f>
        <v>-26</v>
      </c>
      <c r="CA89" s="8">
        <v>42.5538266454183</v>
      </c>
      <c r="CB89" s="20">
        <v>-3.792</v>
      </c>
      <c r="CC89" s="22" t="s">
        <v>1</v>
      </c>
      <c r="CD89" s="22" t="s">
        <v>1</v>
      </c>
      <c r="CE89" s="22" t="s">
        <v>1</v>
      </c>
      <c r="CF89" s="22" t="s">
        <v>1</v>
      </c>
      <c r="CG89" s="22" t="s">
        <v>1</v>
      </c>
      <c r="CH89" s="22" t="s">
        <v>1</v>
      </c>
      <c r="CI89" s="24">
        <f>28-42</f>
        <v>-14</v>
      </c>
      <c r="CJ89" s="8">
        <v>29.319029251309498</v>
      </c>
      <c r="CK89" s="21">
        <v>-1.693</v>
      </c>
      <c r="CL89" s="24">
        <f>11-41</f>
        <v>-30</v>
      </c>
      <c r="CM89" s="8">
        <v>47.54080447317233</v>
      </c>
      <c r="CN89" s="21">
        <v>-4.583</v>
      </c>
      <c r="CO89" s="24">
        <f>15-4</f>
        <v>11</v>
      </c>
      <c r="CP89" s="10">
        <v>80.37082732453636</v>
      </c>
      <c r="CQ89" s="22" t="s">
        <v>1</v>
      </c>
      <c r="CR89" s="22" t="s">
        <v>1</v>
      </c>
      <c r="CS89" s="22" t="s">
        <v>1</v>
      </c>
      <c r="CT89" s="22" t="s">
        <v>1</v>
      </c>
      <c r="CU89" s="24">
        <f>5-3</f>
        <v>2</v>
      </c>
      <c r="CV89" s="10">
        <v>92.55906530260515</v>
      </c>
      <c r="CW89" s="8">
        <f>19-5</f>
        <v>14</v>
      </c>
      <c r="CX89" s="8">
        <v>75.77820148025448</v>
      </c>
      <c r="CY89" s="24">
        <f>13-39</f>
        <v>-26</v>
      </c>
      <c r="CZ89" s="10">
        <v>48.3677266500179</v>
      </c>
      <c r="DA89" s="22" t="s">
        <v>1</v>
      </c>
      <c r="DB89" s="22" t="s">
        <v>1</v>
      </c>
      <c r="DC89" s="22" t="s">
        <v>1</v>
      </c>
      <c r="DD89" s="22" t="s">
        <v>1</v>
      </c>
      <c r="DE89" s="24">
        <f>22-49</f>
        <v>-27</v>
      </c>
      <c r="DF89" s="25">
        <v>28.664075411138008</v>
      </c>
      <c r="DG89" s="24">
        <f>10-35</f>
        <v>-25</v>
      </c>
      <c r="DH89" s="8">
        <v>55.79222049968057</v>
      </c>
      <c r="DI89" s="24">
        <f>11-41</f>
        <v>-30</v>
      </c>
      <c r="DJ89" s="25">
        <v>48.88608403206736</v>
      </c>
      <c r="DK89" s="22" t="s">
        <v>1</v>
      </c>
      <c r="DL89" s="22" t="s">
        <v>1</v>
      </c>
      <c r="DM89" s="22" t="s">
        <v>1</v>
      </c>
      <c r="DN89" s="22" t="s">
        <v>1</v>
      </c>
      <c r="DO89" s="24">
        <f>15-42</f>
        <v>-27</v>
      </c>
      <c r="DP89" s="25">
        <v>43.07108267577066</v>
      </c>
      <c r="DQ89" s="24">
        <f>9-40</f>
        <v>-31</v>
      </c>
      <c r="DR89" s="8">
        <v>51.077223191108786</v>
      </c>
      <c r="DS89" s="22" t="s">
        <v>1</v>
      </c>
      <c r="DT89" s="22" t="s">
        <v>1</v>
      </c>
      <c r="DU89" s="22" t="s">
        <v>1</v>
      </c>
      <c r="DV89" s="22" t="s">
        <v>1</v>
      </c>
      <c r="DW89" s="22" t="s">
        <v>1</v>
      </c>
      <c r="DX89" s="22" t="s">
        <v>1</v>
      </c>
      <c r="DY89" s="22" t="s">
        <v>1</v>
      </c>
      <c r="DZ89" s="22" t="s">
        <v>1</v>
      </c>
      <c r="EA89" s="22" t="s">
        <v>1</v>
      </c>
      <c r="EB89" s="22" t="s">
        <v>1</v>
      </c>
      <c r="EC89" s="25">
        <v>50.018206892915465</v>
      </c>
      <c r="ED89" s="25">
        <v>43.80512528154777</v>
      </c>
      <c r="EE89" s="25">
        <v>3.000924349948016</v>
      </c>
      <c r="EF89" s="16">
        <f>EC89-EE89</f>
        <v>47.01728254296745</v>
      </c>
      <c r="EG89" s="25">
        <v>3.1757434755887584</v>
      </c>
      <c r="EH89" s="8">
        <v>25.504265456700136</v>
      </c>
      <c r="EI89" s="8">
        <v>63.879216191329114</v>
      </c>
      <c r="EJ89" s="8">
        <v>8.067480706463167</v>
      </c>
      <c r="EK89" s="16">
        <f>EH89-EJ89</f>
        <v>17.436784750236967</v>
      </c>
      <c r="EL89" s="23">
        <v>2.5490376455075845</v>
      </c>
      <c r="EM89" s="25">
        <v>16.26721567249385</v>
      </c>
      <c r="EN89" s="25">
        <v>71.44329468065754</v>
      </c>
      <c r="EO89" s="25">
        <v>9.976599785554946</v>
      </c>
      <c r="EP89" s="24">
        <f t="shared" si="64"/>
        <v>6.290615886938905</v>
      </c>
      <c r="EQ89" s="13">
        <v>2.3128898612936615</v>
      </c>
      <c r="ER89" s="120" t="s">
        <v>1</v>
      </c>
    </row>
    <row r="90" spans="1:148" ht="12">
      <c r="A90" s="1" t="s">
        <v>282</v>
      </c>
      <c r="B90" s="24">
        <f aca="true" t="shared" si="72" ref="B90:AV90">AVERAGE(B86:B89)</f>
        <v>-26.25</v>
      </c>
      <c r="C90" s="13">
        <f t="shared" si="72"/>
        <v>49.00588713757143</v>
      </c>
      <c r="D90" s="24">
        <f t="shared" si="72"/>
        <v>-27</v>
      </c>
      <c r="E90" s="13">
        <f t="shared" si="72"/>
        <v>52.99213262490813</v>
      </c>
      <c r="F90" s="24">
        <f t="shared" si="72"/>
        <v>-21</v>
      </c>
      <c r="G90" s="13">
        <f t="shared" si="72"/>
        <v>49.675531914893625</v>
      </c>
      <c r="H90" s="24">
        <f t="shared" si="72"/>
        <v>-23</v>
      </c>
      <c r="I90" s="13">
        <f t="shared" si="72"/>
        <v>40.788327813470175</v>
      </c>
      <c r="J90" s="24">
        <f t="shared" si="72"/>
        <v>-28</v>
      </c>
      <c r="K90" s="13">
        <f t="shared" si="72"/>
        <v>53.66040806302571</v>
      </c>
      <c r="L90" s="21">
        <f t="shared" si="72"/>
        <v>-3.20875</v>
      </c>
      <c r="M90" s="24">
        <f t="shared" si="72"/>
        <v>-32</v>
      </c>
      <c r="N90" s="13">
        <f t="shared" si="72"/>
        <v>57.214672112384186</v>
      </c>
      <c r="O90" s="21">
        <f t="shared" si="72"/>
        <v>-4.84125</v>
      </c>
      <c r="P90" s="24">
        <f t="shared" si="72"/>
        <v>-23.25</v>
      </c>
      <c r="Q90" s="13">
        <f t="shared" si="72"/>
        <v>53.615957446808515</v>
      </c>
      <c r="R90" s="21">
        <f t="shared" si="72"/>
        <v>-2.89775</v>
      </c>
      <c r="S90" s="24">
        <f t="shared" si="72"/>
        <v>-22.5</v>
      </c>
      <c r="T90" s="13">
        <f t="shared" si="72"/>
        <v>46.883977476492845</v>
      </c>
      <c r="U90" s="21">
        <f t="shared" si="72"/>
        <v>-0.9702500000000001</v>
      </c>
      <c r="V90" s="24">
        <f t="shared" si="72"/>
        <v>5.5</v>
      </c>
      <c r="W90" s="13">
        <f t="shared" si="72"/>
        <v>82.9850687944935</v>
      </c>
      <c r="X90" s="24">
        <f t="shared" si="72"/>
        <v>5.75</v>
      </c>
      <c r="Y90" s="13">
        <f t="shared" si="72"/>
        <v>80.44631992385632</v>
      </c>
      <c r="Z90" s="24">
        <f t="shared" si="72"/>
        <v>7.5</v>
      </c>
      <c r="AA90" s="13">
        <f t="shared" si="72"/>
        <v>83.16063829787234</v>
      </c>
      <c r="AB90" s="24">
        <f t="shared" si="72"/>
        <v>4.25</v>
      </c>
      <c r="AC90" s="13">
        <f t="shared" si="72"/>
        <v>90.13158708819267</v>
      </c>
      <c r="AD90" s="24">
        <f t="shared" si="72"/>
        <v>-6</v>
      </c>
      <c r="AE90" s="13">
        <f t="shared" si="72"/>
        <v>58.51467812578471</v>
      </c>
      <c r="AF90" s="24">
        <f t="shared" si="72"/>
        <v>-9.75</v>
      </c>
      <c r="AG90" s="13">
        <f t="shared" si="72"/>
        <v>62.492319369646154</v>
      </c>
      <c r="AH90" s="24">
        <f t="shared" si="72"/>
        <v>-7.5</v>
      </c>
      <c r="AI90" s="13">
        <f t="shared" si="72"/>
        <v>57.24361702127659</v>
      </c>
      <c r="AJ90" s="24">
        <f t="shared" si="72"/>
        <v>2.25</v>
      </c>
      <c r="AK90" s="13">
        <f t="shared" si="72"/>
        <v>50.9645095661551</v>
      </c>
      <c r="AL90" s="24">
        <f t="shared" si="72"/>
        <v>-13.5</v>
      </c>
      <c r="AM90" s="13">
        <f t="shared" si="72"/>
        <v>61.85401384534889</v>
      </c>
      <c r="AN90" s="24">
        <f t="shared" si="72"/>
        <v>-15.75</v>
      </c>
      <c r="AO90" s="13">
        <f t="shared" si="72"/>
        <v>64.194708497488</v>
      </c>
      <c r="AP90" s="24">
        <f t="shared" si="72"/>
        <v>-11.25</v>
      </c>
      <c r="AQ90" s="13">
        <f t="shared" si="72"/>
        <v>60.89574468085106</v>
      </c>
      <c r="AR90" s="24">
        <f t="shared" si="72"/>
        <v>-10</v>
      </c>
      <c r="AS90" s="13">
        <f t="shared" si="72"/>
        <v>56.97131158539694</v>
      </c>
      <c r="AT90" s="13">
        <f t="shared" si="72"/>
        <v>11.267334128504476</v>
      </c>
      <c r="AU90" s="13">
        <f t="shared" si="72"/>
        <v>81.33787544728376</v>
      </c>
      <c r="AV90" s="13">
        <f t="shared" si="72"/>
        <v>5.705654148745196</v>
      </c>
      <c r="AW90" s="24">
        <f t="shared" si="68"/>
        <v>5.561679979759281</v>
      </c>
      <c r="AX90" s="13">
        <f>AVERAGE(AX86:AX89)</f>
        <v>1.6891362754665606</v>
      </c>
      <c r="AY90" s="13">
        <f>AVERAGE(AY86:AY89)</f>
        <v>17.474468085106384</v>
      </c>
      <c r="AZ90" s="13">
        <f>AVERAGE(AZ86:AZ89)</f>
        <v>75.88510638297872</v>
      </c>
      <c r="BA90" s="13">
        <f>AVERAGE(BA86:BA89)</f>
        <v>5.31595744680851</v>
      </c>
      <c r="BB90" s="24">
        <f t="shared" si="69"/>
        <v>12.158510638297873</v>
      </c>
      <c r="BC90" s="13">
        <f>AVERAGE(BC86:BC89)</f>
        <v>1.324468085106383</v>
      </c>
      <c r="BD90" s="13">
        <f>AVERAGE(BD86:BD89)</f>
        <v>31.116689724294798</v>
      </c>
      <c r="BE90" s="13">
        <f>AVERAGE(BE86:BE89)</f>
        <v>63.38553467263386</v>
      </c>
      <c r="BF90" s="13">
        <f>AVERAGE(BF86:BF89)</f>
        <v>4.634384272046229</v>
      </c>
      <c r="BG90" s="24">
        <f t="shared" si="70"/>
        <v>26.482305452248568</v>
      </c>
      <c r="BH90" s="13">
        <f>AVERAGE(BH86:BH89)</f>
        <v>0.8633913310251128</v>
      </c>
      <c r="BI90" s="13">
        <f>AVERAGE(BI86:BI89)</f>
        <v>17.955871956832063</v>
      </c>
      <c r="BJ90" s="13">
        <f>AVERAGE(BJ86:BJ89)</f>
        <v>75.05211385432075</v>
      </c>
      <c r="BK90" s="13">
        <f>AVERAGE(BK86:BK89)</f>
        <v>5.5467201125709185</v>
      </c>
      <c r="BL90" s="24">
        <f t="shared" si="71"/>
        <v>12.409151844261144</v>
      </c>
      <c r="BM90" s="13">
        <f>AVERAGE(BM86:BM89)</f>
        <v>1.4452940762762687</v>
      </c>
      <c r="BN90" s="108" t="s">
        <v>1</v>
      </c>
      <c r="BO90" s="13"/>
      <c r="BP90" s="24">
        <f aca="true" t="shared" si="73" ref="BP90:DR90">AVERAGE(BP86:BP89)</f>
        <v>-18.5</v>
      </c>
      <c r="BQ90" s="13">
        <f t="shared" si="73"/>
        <v>44.60059425085521</v>
      </c>
      <c r="BR90" s="22" t="s">
        <v>1</v>
      </c>
      <c r="BS90" s="22" t="s">
        <v>1</v>
      </c>
      <c r="BT90" s="22" t="s">
        <v>1</v>
      </c>
      <c r="BU90" s="22" t="s">
        <v>1</v>
      </c>
      <c r="BV90" s="24">
        <f t="shared" si="73"/>
        <v>2</v>
      </c>
      <c r="BW90" s="13">
        <f t="shared" si="73"/>
        <v>31.116650986220428</v>
      </c>
      <c r="BX90" s="24">
        <f t="shared" si="73"/>
        <v>-26.25</v>
      </c>
      <c r="BY90" s="13">
        <f t="shared" si="73"/>
        <v>49.68145224127366</v>
      </c>
      <c r="BZ90" s="24">
        <f t="shared" si="73"/>
        <v>-27.75</v>
      </c>
      <c r="CA90" s="13">
        <f t="shared" si="73"/>
        <v>48.37779392148746</v>
      </c>
      <c r="CB90" s="21">
        <f t="shared" si="73"/>
        <v>-4.1695</v>
      </c>
      <c r="CC90" s="22" t="s">
        <v>1</v>
      </c>
      <c r="CD90" s="22" t="s">
        <v>1</v>
      </c>
      <c r="CE90" s="22" t="s">
        <v>1</v>
      </c>
      <c r="CF90" s="22" t="s">
        <v>1</v>
      </c>
      <c r="CG90" s="22" t="s">
        <v>1</v>
      </c>
      <c r="CH90" s="22" t="s">
        <v>1</v>
      </c>
      <c r="CI90" s="24">
        <f t="shared" si="73"/>
        <v>-17</v>
      </c>
      <c r="CJ90" s="13">
        <f t="shared" si="73"/>
        <v>35.416649503306076</v>
      </c>
      <c r="CK90" s="21">
        <f t="shared" si="73"/>
        <v>-1.56425</v>
      </c>
      <c r="CL90" s="21">
        <f t="shared" si="73"/>
        <v>-31.5</v>
      </c>
      <c r="CM90" s="21">
        <f t="shared" si="73"/>
        <v>53.26165711266561</v>
      </c>
      <c r="CN90" s="21">
        <f t="shared" si="73"/>
        <v>-5.151</v>
      </c>
      <c r="CO90" s="24">
        <f t="shared" si="73"/>
        <v>6.5</v>
      </c>
      <c r="CP90" s="13">
        <f t="shared" si="73"/>
        <v>81.68421731417374</v>
      </c>
      <c r="CQ90" s="22" t="s">
        <v>1</v>
      </c>
      <c r="CR90" s="22" t="s">
        <v>1</v>
      </c>
      <c r="CS90" s="22" t="s">
        <v>1</v>
      </c>
      <c r="CT90" s="22" t="s">
        <v>1</v>
      </c>
      <c r="CU90" s="24">
        <f t="shared" si="73"/>
        <v>1.75</v>
      </c>
      <c r="CV90" s="13">
        <f t="shared" si="73"/>
        <v>92.89494540403649</v>
      </c>
      <c r="CW90" s="13">
        <f t="shared" si="73"/>
        <v>8</v>
      </c>
      <c r="CX90" s="13">
        <f t="shared" si="73"/>
        <v>77.45992503736025</v>
      </c>
      <c r="CY90" s="24">
        <f t="shared" si="73"/>
        <v>-4</v>
      </c>
      <c r="CZ90" s="13">
        <f t="shared" si="73"/>
        <v>56.3045244775616</v>
      </c>
      <c r="DA90" s="22" t="s">
        <v>1</v>
      </c>
      <c r="DB90" s="22" t="s">
        <v>1</v>
      </c>
      <c r="DC90" s="22" t="s">
        <v>1</v>
      </c>
      <c r="DD90" s="22" t="s">
        <v>1</v>
      </c>
      <c r="DE90" s="24">
        <f t="shared" si="73"/>
        <v>11.5</v>
      </c>
      <c r="DF90" s="13">
        <f t="shared" si="73"/>
        <v>44.35940571383378</v>
      </c>
      <c r="DG90" s="24">
        <f t="shared" si="73"/>
        <v>-10.25</v>
      </c>
      <c r="DH90" s="13">
        <f t="shared" si="73"/>
        <v>60.80554105157546</v>
      </c>
      <c r="DI90" s="24">
        <f t="shared" si="73"/>
        <v>-10.25</v>
      </c>
      <c r="DJ90" s="13">
        <f t="shared" si="73"/>
        <v>57.971407596201615</v>
      </c>
      <c r="DK90" s="22" t="s">
        <v>1</v>
      </c>
      <c r="DL90" s="22" t="s">
        <v>1</v>
      </c>
      <c r="DM90" s="22" t="s">
        <v>1</v>
      </c>
      <c r="DN90" s="22" t="s">
        <v>1</v>
      </c>
      <c r="DO90" s="13">
        <f t="shared" si="73"/>
        <v>2.5</v>
      </c>
      <c r="DP90" s="13">
        <f t="shared" si="73"/>
        <v>54.189809742088244</v>
      </c>
      <c r="DQ90" s="13">
        <f t="shared" si="73"/>
        <v>-15.5</v>
      </c>
      <c r="DR90" s="13">
        <f t="shared" si="73"/>
        <v>59.39634400364072</v>
      </c>
      <c r="DS90" s="22" t="s">
        <v>1</v>
      </c>
      <c r="DT90" s="22" t="s">
        <v>1</v>
      </c>
      <c r="DU90" s="22" t="s">
        <v>1</v>
      </c>
      <c r="DV90" s="22" t="s">
        <v>1</v>
      </c>
      <c r="DW90" s="22" t="s">
        <v>1</v>
      </c>
      <c r="DX90" s="22" t="s">
        <v>1</v>
      </c>
      <c r="DY90" s="22" t="s">
        <v>1</v>
      </c>
      <c r="DZ90" s="22" t="s">
        <v>1</v>
      </c>
      <c r="EA90" s="22" t="s">
        <v>1</v>
      </c>
      <c r="EB90" s="22" t="s">
        <v>1</v>
      </c>
      <c r="EC90" s="13">
        <f aca="true" t="shared" si="74" ref="EC90:EO90">AVERAGE(EC86:EC89)</f>
        <v>50.698246700927484</v>
      </c>
      <c r="ED90" s="13">
        <f t="shared" si="74"/>
        <v>43.885985305966415</v>
      </c>
      <c r="EE90" s="13">
        <f t="shared" si="74"/>
        <v>3.4741387974882727</v>
      </c>
      <c r="EF90" s="13">
        <f t="shared" si="74"/>
        <v>47.22410790343921</v>
      </c>
      <c r="EG90" s="13">
        <f t="shared" si="74"/>
        <v>1.9416291956178235</v>
      </c>
      <c r="EH90" s="13">
        <f t="shared" si="74"/>
        <v>22.91768692206196</v>
      </c>
      <c r="EI90" s="13">
        <f t="shared" si="74"/>
        <v>68.22012669655508</v>
      </c>
      <c r="EJ90" s="13">
        <f t="shared" si="74"/>
        <v>6.972154806451352</v>
      </c>
      <c r="EK90" s="13">
        <f t="shared" si="74"/>
        <v>15.945532115610607</v>
      </c>
      <c r="EL90" s="13">
        <f t="shared" si="74"/>
        <v>1.8900315749316146</v>
      </c>
      <c r="EM90" s="13">
        <f t="shared" si="74"/>
        <v>12.449749141505794</v>
      </c>
      <c r="EN90" s="13">
        <f t="shared" si="74"/>
        <v>77.38942638121179</v>
      </c>
      <c r="EO90" s="13">
        <f t="shared" si="74"/>
        <v>8.290235299741909</v>
      </c>
      <c r="EP90" s="24">
        <f t="shared" si="64"/>
        <v>4.159513841763886</v>
      </c>
      <c r="EQ90" s="13">
        <f>AVERAGE(EQ86:EQ89)</f>
        <v>1.870589177540513</v>
      </c>
      <c r="ER90" s="120" t="s">
        <v>1</v>
      </c>
    </row>
    <row r="91" spans="1:148" ht="12">
      <c r="A91" s="1" t="s">
        <v>297</v>
      </c>
      <c r="B91" s="24">
        <f>16-51</f>
        <v>-35</v>
      </c>
      <c r="C91" s="8">
        <v>32.59737235988691</v>
      </c>
      <c r="D91" s="23">
        <f>18-46</f>
        <v>-28</v>
      </c>
      <c r="E91" s="8">
        <v>36.1101925205964</v>
      </c>
      <c r="F91" s="23">
        <f>17-43</f>
        <v>-26</v>
      </c>
      <c r="G91" s="8">
        <v>40.124007493978056</v>
      </c>
      <c r="H91" s="23">
        <f>14-60</f>
        <v>-46</v>
      </c>
      <c r="I91" s="8">
        <v>25.51922681472342</v>
      </c>
      <c r="J91" s="23">
        <f>53-21</f>
        <v>32</v>
      </c>
      <c r="K91" s="8">
        <v>26.744054548478296</v>
      </c>
      <c r="L91" s="20">
        <v>2.954</v>
      </c>
      <c r="M91" s="23">
        <f>55-13</f>
        <v>42</v>
      </c>
      <c r="N91" s="8">
        <v>31.51500337881555</v>
      </c>
      <c r="O91" s="20">
        <v>4.533</v>
      </c>
      <c r="P91" s="23">
        <f>52-16</f>
        <v>36</v>
      </c>
      <c r="Q91" s="8">
        <v>32.52297261129449</v>
      </c>
      <c r="R91" s="20">
        <v>3.027</v>
      </c>
      <c r="S91" s="23">
        <f>50-31</f>
        <v>19</v>
      </c>
      <c r="T91" s="8">
        <v>18.837823017341833</v>
      </c>
      <c r="U91" s="20">
        <v>1.044</v>
      </c>
      <c r="V91" s="23">
        <f>14-2</f>
        <v>12</v>
      </c>
      <c r="W91" s="10">
        <v>83.5602860468984</v>
      </c>
      <c r="X91" s="23">
        <f>21-3</f>
        <v>18</v>
      </c>
      <c r="Y91" s="10">
        <v>75.89826170723641</v>
      </c>
      <c r="Z91" s="23">
        <f>14-3</f>
        <v>11</v>
      </c>
      <c r="AA91" s="10">
        <v>83.43295566062984</v>
      </c>
      <c r="AB91" s="23">
        <f>6-1</f>
        <v>5</v>
      </c>
      <c r="AC91" s="10">
        <v>92.74110631297553</v>
      </c>
      <c r="AD91" s="23">
        <f>26-21</f>
        <v>5</v>
      </c>
      <c r="AE91" s="10">
        <v>53.09163479128555</v>
      </c>
      <c r="AF91" s="23">
        <f>20-27</f>
        <v>-7</v>
      </c>
      <c r="AG91" s="10">
        <v>52.99564348463718</v>
      </c>
      <c r="AH91" s="23">
        <f>18-18</f>
        <v>0</v>
      </c>
      <c r="AI91" s="10">
        <v>63.70773485591935</v>
      </c>
      <c r="AJ91" s="23">
        <f>37-14</f>
        <v>23</v>
      </c>
      <c r="AK91" s="10">
        <v>49.127767496058674</v>
      </c>
      <c r="AL91" s="23">
        <f>17-24</f>
        <v>-7</v>
      </c>
      <c r="AM91" s="10">
        <v>59.21969067021453</v>
      </c>
      <c r="AN91" s="23">
        <f>16-33</f>
        <v>-17</v>
      </c>
      <c r="AO91" s="10">
        <v>51.25016175180802</v>
      </c>
      <c r="AP91" s="23">
        <f>16-22</f>
        <v>-6</v>
      </c>
      <c r="AQ91" s="10">
        <v>61.459541439914354</v>
      </c>
      <c r="AR91" s="23">
        <f>19-13</f>
        <v>6</v>
      </c>
      <c r="AS91" s="10">
        <v>67.85763246281445</v>
      </c>
      <c r="AT91" s="25">
        <v>36.806084743569464</v>
      </c>
      <c r="AU91" s="25">
        <v>49.05896392575232</v>
      </c>
      <c r="AV91" s="25">
        <v>9.922215352762722</v>
      </c>
      <c r="AW91" s="24">
        <f t="shared" si="68"/>
        <v>26.883869390806744</v>
      </c>
      <c r="AX91" s="25">
        <v>4.212735977915486</v>
      </c>
      <c r="AY91" s="25">
        <v>45.10661075921135</v>
      </c>
      <c r="AZ91" s="25">
        <v>45.293960210545094</v>
      </c>
      <c r="BA91" s="25">
        <v>8.551164243019002</v>
      </c>
      <c r="BB91" s="24">
        <f t="shared" si="69"/>
        <v>36.55544651619235</v>
      </c>
      <c r="BC91" s="25">
        <v>1.0482647872245516</v>
      </c>
      <c r="BD91" s="25">
        <v>64.86222496401398</v>
      </c>
      <c r="BE91" s="25">
        <v>30.461306463774072</v>
      </c>
      <c r="BF91" s="25">
        <v>4.551374323120159</v>
      </c>
      <c r="BG91" s="24">
        <f t="shared" si="70"/>
        <v>60.31085064089382</v>
      </c>
      <c r="BH91" s="25">
        <v>0.12509424909178146</v>
      </c>
      <c r="BI91" s="25">
        <v>48.935306835190424</v>
      </c>
      <c r="BJ91" s="25">
        <v>41.27789788790953</v>
      </c>
      <c r="BK91" s="25">
        <v>7.632795609512723</v>
      </c>
      <c r="BL91" s="24">
        <f t="shared" si="71"/>
        <v>41.302511225677705</v>
      </c>
      <c r="BM91" s="8">
        <v>2.1539996673873274</v>
      </c>
      <c r="BN91" s="108" t="s">
        <v>1</v>
      </c>
      <c r="BO91" s="8"/>
      <c r="BP91" s="123" t="s">
        <v>193</v>
      </c>
      <c r="BQ91" s="123" t="s">
        <v>193</v>
      </c>
      <c r="BR91" s="123" t="s">
        <v>193</v>
      </c>
      <c r="BS91" s="123" t="s">
        <v>193</v>
      </c>
      <c r="BT91" s="123" t="s">
        <v>193</v>
      </c>
      <c r="BU91" s="123" t="s">
        <v>193</v>
      </c>
      <c r="BV91" s="123" t="s">
        <v>193</v>
      </c>
      <c r="BW91" s="123" t="s">
        <v>193</v>
      </c>
      <c r="BX91" s="123" t="s">
        <v>193</v>
      </c>
      <c r="BY91" s="123" t="s">
        <v>193</v>
      </c>
      <c r="BZ91" s="123" t="s">
        <v>193</v>
      </c>
      <c r="CA91" s="123" t="s">
        <v>193</v>
      </c>
      <c r="CB91" s="123" t="s">
        <v>193</v>
      </c>
      <c r="CC91" s="123" t="s">
        <v>193</v>
      </c>
      <c r="CD91" s="123" t="s">
        <v>193</v>
      </c>
      <c r="CE91" s="123" t="s">
        <v>193</v>
      </c>
      <c r="CF91" s="123" t="s">
        <v>193</v>
      </c>
      <c r="CG91" s="123" t="s">
        <v>193</v>
      </c>
      <c r="CH91" s="123" t="s">
        <v>193</v>
      </c>
      <c r="CI91" s="123" t="s">
        <v>193</v>
      </c>
      <c r="CJ91" s="123" t="s">
        <v>193</v>
      </c>
      <c r="CK91" s="123" t="s">
        <v>193</v>
      </c>
      <c r="CL91" s="123" t="s">
        <v>193</v>
      </c>
      <c r="CM91" s="123" t="s">
        <v>193</v>
      </c>
      <c r="CN91" s="123" t="s">
        <v>193</v>
      </c>
      <c r="CO91" s="123" t="s">
        <v>193</v>
      </c>
      <c r="CP91" s="123" t="s">
        <v>193</v>
      </c>
      <c r="CQ91" s="123" t="s">
        <v>193</v>
      </c>
      <c r="CR91" s="123" t="s">
        <v>193</v>
      </c>
      <c r="CS91" s="123" t="s">
        <v>193</v>
      </c>
      <c r="CT91" s="123" t="s">
        <v>193</v>
      </c>
      <c r="CU91" s="123" t="s">
        <v>193</v>
      </c>
      <c r="CV91" s="123" t="s">
        <v>193</v>
      </c>
      <c r="CW91" s="123" t="s">
        <v>193</v>
      </c>
      <c r="CX91" s="123" t="s">
        <v>193</v>
      </c>
      <c r="CY91" s="123" t="s">
        <v>193</v>
      </c>
      <c r="CZ91" s="123" t="s">
        <v>193</v>
      </c>
      <c r="DA91" s="123" t="s">
        <v>193</v>
      </c>
      <c r="DB91" s="123" t="s">
        <v>193</v>
      </c>
      <c r="DC91" s="123" t="s">
        <v>193</v>
      </c>
      <c r="DD91" s="123" t="s">
        <v>193</v>
      </c>
      <c r="DE91" s="123" t="s">
        <v>193</v>
      </c>
      <c r="DF91" s="123" t="s">
        <v>193</v>
      </c>
      <c r="DG91" s="123" t="s">
        <v>193</v>
      </c>
      <c r="DH91" s="123" t="s">
        <v>193</v>
      </c>
      <c r="DI91" s="123" t="s">
        <v>193</v>
      </c>
      <c r="DJ91" s="123" t="s">
        <v>193</v>
      </c>
      <c r="DK91" s="123" t="s">
        <v>193</v>
      </c>
      <c r="DL91" s="123" t="s">
        <v>193</v>
      </c>
      <c r="DM91" s="123" t="s">
        <v>193</v>
      </c>
      <c r="DN91" s="123" t="s">
        <v>193</v>
      </c>
      <c r="DO91" s="123" t="s">
        <v>193</v>
      </c>
      <c r="DP91" s="123" t="s">
        <v>193</v>
      </c>
      <c r="DQ91" s="123" t="s">
        <v>193</v>
      </c>
      <c r="DR91" s="123" t="s">
        <v>193</v>
      </c>
      <c r="DS91" s="123" t="s">
        <v>193</v>
      </c>
      <c r="DT91" s="123" t="s">
        <v>193</v>
      </c>
      <c r="DU91" s="123" t="s">
        <v>193</v>
      </c>
      <c r="DV91" s="123" t="s">
        <v>193</v>
      </c>
      <c r="DW91" s="123" t="s">
        <v>193</v>
      </c>
      <c r="DX91" s="123" t="s">
        <v>193</v>
      </c>
      <c r="DY91" s="123" t="s">
        <v>193</v>
      </c>
      <c r="DZ91" s="123" t="s">
        <v>193</v>
      </c>
      <c r="EA91" s="123" t="s">
        <v>193</v>
      </c>
      <c r="EB91" s="123" t="s">
        <v>193</v>
      </c>
      <c r="EC91" s="123" t="s">
        <v>193</v>
      </c>
      <c r="ED91" s="123" t="s">
        <v>193</v>
      </c>
      <c r="EE91" s="123" t="s">
        <v>193</v>
      </c>
      <c r="EF91" s="123" t="s">
        <v>193</v>
      </c>
      <c r="EG91" s="123" t="s">
        <v>193</v>
      </c>
      <c r="EH91" s="123" t="s">
        <v>193</v>
      </c>
      <c r="EI91" s="123" t="s">
        <v>193</v>
      </c>
      <c r="EJ91" s="123" t="s">
        <v>193</v>
      </c>
      <c r="EK91" s="123" t="s">
        <v>193</v>
      </c>
      <c r="EL91" s="123" t="s">
        <v>193</v>
      </c>
      <c r="EM91" s="123" t="s">
        <v>193</v>
      </c>
      <c r="EN91" s="123" t="s">
        <v>193</v>
      </c>
      <c r="EO91" s="123" t="s">
        <v>193</v>
      </c>
      <c r="EP91" s="123" t="s">
        <v>193</v>
      </c>
      <c r="EQ91" s="123" t="s">
        <v>193</v>
      </c>
      <c r="ER91" s="123" t="s">
        <v>193</v>
      </c>
    </row>
    <row r="92" spans="1:148" ht="12">
      <c r="A92" s="1" t="s">
        <v>36</v>
      </c>
      <c r="B92" s="24">
        <f>35-30</f>
        <v>5</v>
      </c>
      <c r="C92" s="8">
        <v>34.85647763179777</v>
      </c>
      <c r="D92" s="23">
        <f>23-36</f>
        <v>-13</v>
      </c>
      <c r="E92" s="8">
        <v>41.35382668832943</v>
      </c>
      <c r="F92" s="23">
        <f>24-30</f>
        <v>-6</v>
      </c>
      <c r="G92" s="8">
        <v>46.23962886965831</v>
      </c>
      <c r="H92" s="23">
        <f>53-24</f>
        <v>29</v>
      </c>
      <c r="I92" s="8">
        <v>22.739735417095073</v>
      </c>
      <c r="J92" s="23">
        <f>32-36</f>
        <v>-4</v>
      </c>
      <c r="K92" s="8">
        <v>31.87892898719441</v>
      </c>
      <c r="L92" s="20">
        <v>-0.644</v>
      </c>
      <c r="M92" s="23">
        <f>28-34</f>
        <v>-6</v>
      </c>
      <c r="N92" s="8">
        <v>37.836982933387006</v>
      </c>
      <c r="O92" s="20">
        <v>-1.571</v>
      </c>
      <c r="P92" s="23">
        <f>28-40</f>
        <v>-12</v>
      </c>
      <c r="Q92" s="8">
        <v>32.26425194040503</v>
      </c>
      <c r="R92" s="20">
        <v>-1.188</v>
      </c>
      <c r="S92" s="23">
        <f>38-38</f>
        <v>0</v>
      </c>
      <c r="T92" s="8">
        <v>24.629858112276374</v>
      </c>
      <c r="U92" s="20">
        <v>0.669</v>
      </c>
      <c r="V92" s="23">
        <f>14-3</f>
        <v>11</v>
      </c>
      <c r="W92" s="10">
        <v>83.26426076833528</v>
      </c>
      <c r="X92" s="23">
        <f>18-5</f>
        <v>13</v>
      </c>
      <c r="Y92" s="10">
        <v>77.26704145159667</v>
      </c>
      <c r="Z92" s="23">
        <f>12-2</f>
        <v>10</v>
      </c>
      <c r="AA92" s="10">
        <v>85.40012489963422</v>
      </c>
      <c r="AB92" s="23">
        <f>10-1</f>
        <v>9</v>
      </c>
      <c r="AC92" s="10">
        <v>89.59147302762355</v>
      </c>
      <c r="AD92" s="23">
        <f>32-25</f>
        <v>7</v>
      </c>
      <c r="AE92" s="10">
        <v>43.294861134209214</v>
      </c>
      <c r="AF92" s="23">
        <f>22-32</f>
        <v>-10</v>
      </c>
      <c r="AG92" s="10">
        <v>46.18912740291297</v>
      </c>
      <c r="AH92" s="23">
        <f>24-22</f>
        <v>2</v>
      </c>
      <c r="AI92" s="10">
        <v>53.78267463645285</v>
      </c>
      <c r="AJ92" s="23">
        <f>46-18</f>
        <v>28</v>
      </c>
      <c r="AK92" s="10">
        <v>35.816368496812665</v>
      </c>
      <c r="AL92" s="23">
        <f>22-24</f>
        <v>-2</v>
      </c>
      <c r="AM92" s="10">
        <v>53.91318809246633</v>
      </c>
      <c r="AN92" s="23">
        <f>15-33</f>
        <v>-18</v>
      </c>
      <c r="AO92" s="10">
        <v>52.06251527655965</v>
      </c>
      <c r="AP92" s="23">
        <f>15-22</f>
        <v>-7</v>
      </c>
      <c r="AQ92" s="10">
        <v>62.35614238558301</v>
      </c>
      <c r="AR92" s="23">
        <f>33-14</f>
        <v>19</v>
      </c>
      <c r="AS92" s="10">
        <v>52.8754541092604</v>
      </c>
      <c r="AT92" s="25">
        <v>35.250391798823884</v>
      </c>
      <c r="AU92" s="25">
        <v>52.84755071817803</v>
      </c>
      <c r="AV92" s="25">
        <v>8.109157309025033</v>
      </c>
      <c r="AW92" s="24">
        <f t="shared" si="68"/>
        <v>27.14123448979885</v>
      </c>
      <c r="AX92" s="25">
        <v>3.792900173973056</v>
      </c>
      <c r="AY92" s="25">
        <v>46.07458292443572</v>
      </c>
      <c r="AZ92" s="25">
        <v>44.633776429654745</v>
      </c>
      <c r="BA92" s="25">
        <v>7.328932108127398</v>
      </c>
      <c r="BB92" s="24">
        <f t="shared" si="69"/>
        <v>38.74565081630832</v>
      </c>
      <c r="BC92" s="25">
        <v>1.9627085377821394</v>
      </c>
      <c r="BD92" s="25">
        <v>65.13640414010557</v>
      </c>
      <c r="BE92" s="25">
        <v>28.614024264857086</v>
      </c>
      <c r="BF92" s="25">
        <v>4.628487216395915</v>
      </c>
      <c r="BG92" s="24">
        <f t="shared" si="70"/>
        <v>60.50791692370965</v>
      </c>
      <c r="BH92" s="25">
        <v>1.6210843786414422</v>
      </c>
      <c r="BI92" s="25">
        <v>48.46632296690504</v>
      </c>
      <c r="BJ92" s="25">
        <v>42.215200399135206</v>
      </c>
      <c r="BK92" s="25">
        <v>6.641609845335108</v>
      </c>
      <c r="BL92" s="24">
        <f t="shared" si="71"/>
        <v>41.82471312156993</v>
      </c>
      <c r="BM92" s="8">
        <v>2.6768667886246464</v>
      </c>
      <c r="BN92" s="108" t="s">
        <v>1</v>
      </c>
      <c r="BO92" s="8"/>
      <c r="BP92" s="123" t="s">
        <v>193</v>
      </c>
      <c r="BQ92" s="123" t="s">
        <v>193</v>
      </c>
      <c r="BR92" s="123" t="s">
        <v>193</v>
      </c>
      <c r="BS92" s="123" t="s">
        <v>193</v>
      </c>
      <c r="BT92" s="123" t="s">
        <v>193</v>
      </c>
      <c r="BU92" s="123" t="s">
        <v>193</v>
      </c>
      <c r="BV92" s="123" t="s">
        <v>193</v>
      </c>
      <c r="BW92" s="123" t="s">
        <v>193</v>
      </c>
      <c r="BX92" s="123" t="s">
        <v>193</v>
      </c>
      <c r="BY92" s="123" t="s">
        <v>193</v>
      </c>
      <c r="BZ92" s="123" t="s">
        <v>193</v>
      </c>
      <c r="CA92" s="123" t="s">
        <v>193</v>
      </c>
      <c r="CB92" s="123" t="s">
        <v>193</v>
      </c>
      <c r="CC92" s="123" t="s">
        <v>193</v>
      </c>
      <c r="CD92" s="123" t="s">
        <v>193</v>
      </c>
      <c r="CE92" s="123" t="s">
        <v>193</v>
      </c>
      <c r="CF92" s="123" t="s">
        <v>193</v>
      </c>
      <c r="CG92" s="123" t="s">
        <v>193</v>
      </c>
      <c r="CH92" s="123" t="s">
        <v>193</v>
      </c>
      <c r="CI92" s="123" t="s">
        <v>193</v>
      </c>
      <c r="CJ92" s="123" t="s">
        <v>193</v>
      </c>
      <c r="CK92" s="123" t="s">
        <v>193</v>
      </c>
      <c r="CL92" s="123" t="s">
        <v>193</v>
      </c>
      <c r="CM92" s="123" t="s">
        <v>193</v>
      </c>
      <c r="CN92" s="123" t="s">
        <v>193</v>
      </c>
      <c r="CO92" s="123" t="s">
        <v>193</v>
      </c>
      <c r="CP92" s="123" t="s">
        <v>193</v>
      </c>
      <c r="CQ92" s="123" t="s">
        <v>193</v>
      </c>
      <c r="CR92" s="123" t="s">
        <v>193</v>
      </c>
      <c r="CS92" s="123" t="s">
        <v>193</v>
      </c>
      <c r="CT92" s="123" t="s">
        <v>193</v>
      </c>
      <c r="CU92" s="123" t="s">
        <v>193</v>
      </c>
      <c r="CV92" s="123" t="s">
        <v>193</v>
      </c>
      <c r="CW92" s="123" t="s">
        <v>193</v>
      </c>
      <c r="CX92" s="123" t="s">
        <v>193</v>
      </c>
      <c r="CY92" s="123" t="s">
        <v>193</v>
      </c>
      <c r="CZ92" s="123" t="s">
        <v>193</v>
      </c>
      <c r="DA92" s="123" t="s">
        <v>193</v>
      </c>
      <c r="DB92" s="123" t="s">
        <v>193</v>
      </c>
      <c r="DC92" s="123" t="s">
        <v>193</v>
      </c>
      <c r="DD92" s="123" t="s">
        <v>193</v>
      </c>
      <c r="DE92" s="123" t="s">
        <v>193</v>
      </c>
      <c r="DF92" s="123" t="s">
        <v>193</v>
      </c>
      <c r="DG92" s="123" t="s">
        <v>193</v>
      </c>
      <c r="DH92" s="123" t="s">
        <v>193</v>
      </c>
      <c r="DI92" s="123" t="s">
        <v>193</v>
      </c>
      <c r="DJ92" s="123" t="s">
        <v>193</v>
      </c>
      <c r="DK92" s="123" t="s">
        <v>193</v>
      </c>
      <c r="DL92" s="123" t="s">
        <v>193</v>
      </c>
      <c r="DM92" s="123" t="s">
        <v>193</v>
      </c>
      <c r="DN92" s="123" t="s">
        <v>193</v>
      </c>
      <c r="DO92" s="123" t="s">
        <v>193</v>
      </c>
      <c r="DP92" s="123" t="s">
        <v>193</v>
      </c>
      <c r="DQ92" s="123" t="s">
        <v>193</v>
      </c>
      <c r="DR92" s="123" t="s">
        <v>193</v>
      </c>
      <c r="DS92" s="123" t="s">
        <v>193</v>
      </c>
      <c r="DT92" s="123" t="s">
        <v>193</v>
      </c>
      <c r="DU92" s="123" t="s">
        <v>193</v>
      </c>
      <c r="DV92" s="123" t="s">
        <v>193</v>
      </c>
      <c r="DW92" s="123" t="s">
        <v>193</v>
      </c>
      <c r="DX92" s="123" t="s">
        <v>193</v>
      </c>
      <c r="DY92" s="123" t="s">
        <v>193</v>
      </c>
      <c r="DZ92" s="123" t="s">
        <v>193</v>
      </c>
      <c r="EA92" s="123" t="s">
        <v>193</v>
      </c>
      <c r="EB92" s="123" t="s">
        <v>193</v>
      </c>
      <c r="EC92" s="123" t="s">
        <v>193</v>
      </c>
      <c r="ED92" s="123" t="s">
        <v>193</v>
      </c>
      <c r="EE92" s="123" t="s">
        <v>193</v>
      </c>
      <c r="EF92" s="123" t="s">
        <v>193</v>
      </c>
      <c r="EG92" s="123" t="s">
        <v>193</v>
      </c>
      <c r="EH92" s="123" t="s">
        <v>193</v>
      </c>
      <c r="EI92" s="123" t="s">
        <v>193</v>
      </c>
      <c r="EJ92" s="123" t="s">
        <v>193</v>
      </c>
      <c r="EK92" s="123" t="s">
        <v>193</v>
      </c>
      <c r="EL92" s="123" t="s">
        <v>193</v>
      </c>
      <c r="EM92" s="123" t="s">
        <v>193</v>
      </c>
      <c r="EN92" s="123" t="s">
        <v>193</v>
      </c>
      <c r="EO92" s="123" t="s">
        <v>193</v>
      </c>
      <c r="EP92" s="123" t="s">
        <v>193</v>
      </c>
      <c r="EQ92" s="123" t="s">
        <v>193</v>
      </c>
      <c r="ER92" s="123" t="s">
        <v>193</v>
      </c>
    </row>
    <row r="93" spans="1:148" ht="12">
      <c r="A93" s="1" t="s">
        <v>32</v>
      </c>
      <c r="B93" s="24">
        <f>30-33</f>
        <v>-3</v>
      </c>
      <c r="C93" s="8">
        <v>33.74355562946948</v>
      </c>
      <c r="D93" s="23">
        <f>21-38</f>
        <v>-17</v>
      </c>
      <c r="E93" s="8">
        <v>41.91025290793806</v>
      </c>
      <c r="F93" s="23">
        <f>26-34</f>
        <v>-8</v>
      </c>
      <c r="G93" s="8">
        <v>40.02587206708895</v>
      </c>
      <c r="H93" s="23">
        <f>43-28</f>
        <v>15</v>
      </c>
      <c r="I93" s="8">
        <v>28.543765850983615</v>
      </c>
      <c r="J93" s="23">
        <f>34-32</f>
        <v>2</v>
      </c>
      <c r="K93" s="8">
        <v>33.74355562946948</v>
      </c>
      <c r="L93" s="20">
        <v>-0.74</v>
      </c>
      <c r="M93" s="23">
        <f>26-38</f>
        <v>-12</v>
      </c>
      <c r="N93" s="8">
        <v>36.435133930497045</v>
      </c>
      <c r="O93" s="20">
        <v>-2.45</v>
      </c>
      <c r="P93" s="23">
        <f>31-34</f>
        <v>-3</v>
      </c>
      <c r="Q93" s="8">
        <v>34.90052636274422</v>
      </c>
      <c r="R93" s="20">
        <v>-1.147</v>
      </c>
      <c r="S93" s="23">
        <f>46-24</f>
        <v>22</v>
      </c>
      <c r="T93" s="8">
        <v>30.09116457605045</v>
      </c>
      <c r="U93" s="20">
        <v>1.454</v>
      </c>
      <c r="V93" s="23">
        <f>13-3</f>
        <v>10</v>
      </c>
      <c r="W93" s="10">
        <v>83.81107600199567</v>
      </c>
      <c r="X93" s="23">
        <f>19-5</f>
        <v>14</v>
      </c>
      <c r="Y93" s="10">
        <v>76.11824416615146</v>
      </c>
      <c r="Z93" s="23">
        <f>14-3</f>
        <v>11</v>
      </c>
      <c r="AA93" s="10">
        <v>82.98242483718441</v>
      </c>
      <c r="AB93" s="23">
        <f>6-1</f>
        <v>5</v>
      </c>
      <c r="AC93" s="10">
        <v>93.29803276441154</v>
      </c>
      <c r="AD93" s="23">
        <f>39-20</f>
        <v>19</v>
      </c>
      <c r="AE93" s="10">
        <v>41.08498253783469</v>
      </c>
      <c r="AF93" s="23">
        <f>28-24</f>
        <v>4</v>
      </c>
      <c r="AG93" s="10">
        <v>47.43425687624908</v>
      </c>
      <c r="AH93" s="23">
        <f>35-18</f>
        <v>17</v>
      </c>
      <c r="AI93" s="10">
        <v>46.5295744491034</v>
      </c>
      <c r="AJ93" s="23">
        <f>53-15</f>
        <v>38</v>
      </c>
      <c r="AK93" s="10">
        <v>31.426074439646307</v>
      </c>
      <c r="AL93" s="23">
        <f>28-20</f>
        <v>8</v>
      </c>
      <c r="AM93" s="10">
        <v>52.87277565275237</v>
      </c>
      <c r="AN93" s="23">
        <f>19-26</f>
        <v>-7</v>
      </c>
      <c r="AO93" s="10">
        <v>54.498138056965395</v>
      </c>
      <c r="AP93" s="23">
        <f>22-22</f>
        <v>0</v>
      </c>
      <c r="AQ93" s="10">
        <v>56.592916406459096</v>
      </c>
      <c r="AR93" s="23">
        <f>40-11</f>
        <v>29</v>
      </c>
      <c r="AS93" s="10">
        <v>49.50647748303517</v>
      </c>
      <c r="AT93" s="25">
        <v>36.35030409339909</v>
      </c>
      <c r="AU93" s="25">
        <v>51.54203390317896</v>
      </c>
      <c r="AV93" s="25">
        <v>10.297479547382496</v>
      </c>
      <c r="AW93" s="24">
        <f t="shared" si="68"/>
        <v>26.052824546016595</v>
      </c>
      <c r="AX93" s="25">
        <v>1.8101824560394533</v>
      </c>
      <c r="AY93" s="25">
        <v>50.24087786600053</v>
      </c>
      <c r="AZ93" s="25">
        <v>40.06601837808903</v>
      </c>
      <c r="BA93" s="25">
        <v>9.287179944687304</v>
      </c>
      <c r="BB93" s="24">
        <f t="shared" si="69"/>
        <v>40.95369792131323</v>
      </c>
      <c r="BC93" s="25">
        <v>0.4059238112231243</v>
      </c>
      <c r="BD93" s="25">
        <v>58.734320378367265</v>
      </c>
      <c r="BE93" s="25">
        <v>38.453629446843514</v>
      </c>
      <c r="BF93" s="25">
        <v>2.8120501747892246</v>
      </c>
      <c r="BG93" s="24">
        <f t="shared" si="70"/>
        <v>55.92227020357804</v>
      </c>
      <c r="BH93" s="25">
        <v>0</v>
      </c>
      <c r="BI93" s="25">
        <v>47.11125893896557</v>
      </c>
      <c r="BJ93" s="25">
        <v>44.74970896391153</v>
      </c>
      <c r="BK93" s="25">
        <v>7.240977881257275</v>
      </c>
      <c r="BL93" s="24">
        <f t="shared" si="71"/>
        <v>39.8702810577083</v>
      </c>
      <c r="BM93" s="8">
        <v>0.8980542158656245</v>
      </c>
      <c r="BN93" s="108" t="s">
        <v>1</v>
      </c>
      <c r="BO93" s="8"/>
      <c r="BP93" s="123" t="s">
        <v>193</v>
      </c>
      <c r="BQ93" s="123" t="s">
        <v>193</v>
      </c>
      <c r="BR93" s="123" t="s">
        <v>193</v>
      </c>
      <c r="BS93" s="123" t="s">
        <v>193</v>
      </c>
      <c r="BT93" s="123" t="s">
        <v>193</v>
      </c>
      <c r="BU93" s="123" t="s">
        <v>193</v>
      </c>
      <c r="BV93" s="123" t="s">
        <v>193</v>
      </c>
      <c r="BW93" s="123" t="s">
        <v>193</v>
      </c>
      <c r="BX93" s="123" t="s">
        <v>193</v>
      </c>
      <c r="BY93" s="123" t="s">
        <v>193</v>
      </c>
      <c r="BZ93" s="123" t="s">
        <v>193</v>
      </c>
      <c r="CA93" s="123" t="s">
        <v>193</v>
      </c>
      <c r="CB93" s="123" t="s">
        <v>193</v>
      </c>
      <c r="CC93" s="123" t="s">
        <v>193</v>
      </c>
      <c r="CD93" s="123" t="s">
        <v>193</v>
      </c>
      <c r="CE93" s="123" t="s">
        <v>193</v>
      </c>
      <c r="CF93" s="123" t="s">
        <v>193</v>
      </c>
      <c r="CG93" s="123" t="s">
        <v>193</v>
      </c>
      <c r="CH93" s="123" t="s">
        <v>193</v>
      </c>
      <c r="CI93" s="123" t="s">
        <v>193</v>
      </c>
      <c r="CJ93" s="123" t="s">
        <v>193</v>
      </c>
      <c r="CK93" s="123" t="s">
        <v>193</v>
      </c>
      <c r="CL93" s="123" t="s">
        <v>193</v>
      </c>
      <c r="CM93" s="123" t="s">
        <v>193</v>
      </c>
      <c r="CN93" s="123" t="s">
        <v>193</v>
      </c>
      <c r="CO93" s="123" t="s">
        <v>193</v>
      </c>
      <c r="CP93" s="123" t="s">
        <v>193</v>
      </c>
      <c r="CQ93" s="123" t="s">
        <v>193</v>
      </c>
      <c r="CR93" s="123" t="s">
        <v>193</v>
      </c>
      <c r="CS93" s="123" t="s">
        <v>193</v>
      </c>
      <c r="CT93" s="123" t="s">
        <v>193</v>
      </c>
      <c r="CU93" s="123" t="s">
        <v>193</v>
      </c>
      <c r="CV93" s="123" t="s">
        <v>193</v>
      </c>
      <c r="CW93" s="123" t="s">
        <v>193</v>
      </c>
      <c r="CX93" s="123" t="s">
        <v>193</v>
      </c>
      <c r="CY93" s="123" t="s">
        <v>193</v>
      </c>
      <c r="CZ93" s="123" t="s">
        <v>193</v>
      </c>
      <c r="DA93" s="123" t="s">
        <v>193</v>
      </c>
      <c r="DB93" s="123" t="s">
        <v>193</v>
      </c>
      <c r="DC93" s="123" t="s">
        <v>193</v>
      </c>
      <c r="DD93" s="123" t="s">
        <v>193</v>
      </c>
      <c r="DE93" s="123" t="s">
        <v>193</v>
      </c>
      <c r="DF93" s="123" t="s">
        <v>193</v>
      </c>
      <c r="DG93" s="123" t="s">
        <v>193</v>
      </c>
      <c r="DH93" s="123" t="s">
        <v>193</v>
      </c>
      <c r="DI93" s="123" t="s">
        <v>193</v>
      </c>
      <c r="DJ93" s="123" t="s">
        <v>193</v>
      </c>
      <c r="DK93" s="123" t="s">
        <v>193</v>
      </c>
      <c r="DL93" s="123" t="s">
        <v>193</v>
      </c>
      <c r="DM93" s="123" t="s">
        <v>193</v>
      </c>
      <c r="DN93" s="123" t="s">
        <v>193</v>
      </c>
      <c r="DO93" s="123" t="s">
        <v>193</v>
      </c>
      <c r="DP93" s="123" t="s">
        <v>193</v>
      </c>
      <c r="DQ93" s="123" t="s">
        <v>193</v>
      </c>
      <c r="DR93" s="123" t="s">
        <v>193</v>
      </c>
      <c r="DS93" s="123" t="s">
        <v>193</v>
      </c>
      <c r="DT93" s="123" t="s">
        <v>193</v>
      </c>
      <c r="DU93" s="123" t="s">
        <v>193</v>
      </c>
      <c r="DV93" s="123" t="s">
        <v>193</v>
      </c>
      <c r="DW93" s="123" t="s">
        <v>193</v>
      </c>
      <c r="DX93" s="123" t="s">
        <v>193</v>
      </c>
      <c r="DY93" s="123" t="s">
        <v>193</v>
      </c>
      <c r="DZ93" s="123" t="s">
        <v>193</v>
      </c>
      <c r="EA93" s="123" t="s">
        <v>193</v>
      </c>
      <c r="EB93" s="123" t="s">
        <v>193</v>
      </c>
      <c r="EC93" s="123" t="s">
        <v>193</v>
      </c>
      <c r="ED93" s="123" t="s">
        <v>193</v>
      </c>
      <c r="EE93" s="123" t="s">
        <v>193</v>
      </c>
      <c r="EF93" s="123" t="s">
        <v>193</v>
      </c>
      <c r="EG93" s="123" t="s">
        <v>193</v>
      </c>
      <c r="EH93" s="123" t="s">
        <v>193</v>
      </c>
      <c r="EI93" s="123" t="s">
        <v>193</v>
      </c>
      <c r="EJ93" s="123" t="s">
        <v>193</v>
      </c>
      <c r="EK93" s="123" t="s">
        <v>193</v>
      </c>
      <c r="EL93" s="123" t="s">
        <v>193</v>
      </c>
      <c r="EM93" s="123" t="s">
        <v>193</v>
      </c>
      <c r="EN93" s="123" t="s">
        <v>193</v>
      </c>
      <c r="EO93" s="123" t="s">
        <v>193</v>
      </c>
      <c r="EP93" s="123" t="s">
        <v>193</v>
      </c>
      <c r="EQ93" s="123" t="s">
        <v>193</v>
      </c>
      <c r="ER93" s="123" t="s">
        <v>193</v>
      </c>
    </row>
    <row r="94" spans="1:148" ht="12">
      <c r="A94" s="1" t="s">
        <v>33</v>
      </c>
      <c r="B94" s="24">
        <f>44-23</f>
        <v>21</v>
      </c>
      <c r="C94" s="8">
        <v>33.01579910194579</v>
      </c>
      <c r="D94" s="23">
        <f>37-25</f>
        <v>12</v>
      </c>
      <c r="E94" s="8">
        <v>37.982200112147915</v>
      </c>
      <c r="F94" s="23">
        <f>38-24</f>
        <v>14</v>
      </c>
      <c r="G94" s="8">
        <v>38.763493621197256</v>
      </c>
      <c r="H94" s="23">
        <f>55-20</f>
        <v>35</v>
      </c>
      <c r="I94" s="8">
        <v>24.888614709712797</v>
      </c>
      <c r="J94" s="23">
        <f>40-29</f>
        <v>11</v>
      </c>
      <c r="K94" s="8">
        <v>31.465824047896223</v>
      </c>
      <c r="L94" s="20">
        <v>0.387</v>
      </c>
      <c r="M94" s="23">
        <f>34-29</f>
        <v>5</v>
      </c>
      <c r="N94" s="8">
        <v>36.85496973443947</v>
      </c>
      <c r="O94" s="20">
        <v>-0.185</v>
      </c>
      <c r="P94" s="23">
        <f>33-32</f>
        <v>1</v>
      </c>
      <c r="Q94" s="8">
        <v>35.15924703363369</v>
      </c>
      <c r="R94" s="20">
        <v>-0.175</v>
      </c>
      <c r="S94" s="23">
        <f>49-28</f>
        <v>21</v>
      </c>
      <c r="T94" s="8">
        <v>23.623963259990404</v>
      </c>
      <c r="U94" s="20">
        <v>1.286</v>
      </c>
      <c r="V94" s="23">
        <f>13-3</f>
        <v>10</v>
      </c>
      <c r="W94" s="10">
        <v>84.02860468983869</v>
      </c>
      <c r="X94" s="23">
        <f>19-5</f>
        <v>14</v>
      </c>
      <c r="Y94" s="10">
        <v>75.75879570387198</v>
      </c>
      <c r="Z94" s="23">
        <f>13-2</f>
        <v>11</v>
      </c>
      <c r="AA94" s="10">
        <v>84.646266393077</v>
      </c>
      <c r="AB94" s="23">
        <f>6-1</f>
        <v>5</v>
      </c>
      <c r="AC94" s="10">
        <v>93.6476112139283</v>
      </c>
      <c r="AD94" s="23">
        <f>14-35</f>
        <v>-21</v>
      </c>
      <c r="AE94" s="10">
        <v>50.89439547646766</v>
      </c>
      <c r="AF94" s="23">
        <f>14-31</f>
        <v>-17</v>
      </c>
      <c r="AG94" s="10">
        <v>54.44493968454803</v>
      </c>
      <c r="AH94" s="23">
        <f>12-33</f>
        <v>-21</v>
      </c>
      <c r="AI94" s="10">
        <v>54.6079043625658</v>
      </c>
      <c r="AJ94" s="23">
        <f>14-41</f>
        <v>-27</v>
      </c>
      <c r="AK94" s="10">
        <v>45.23613681540887</v>
      </c>
      <c r="AL94" s="23">
        <f>11-32</f>
        <v>-21</v>
      </c>
      <c r="AM94" s="10">
        <v>57.74621653084983</v>
      </c>
      <c r="AN94" s="23">
        <f>10-35</f>
        <v>-25</v>
      </c>
      <c r="AO94" s="10">
        <v>54.90359592241665</v>
      </c>
      <c r="AP94" s="23">
        <f>10-28</f>
        <v>-18</v>
      </c>
      <c r="AQ94" s="10">
        <v>61.70488000713712</v>
      </c>
      <c r="AR94" s="23">
        <f>12-29</f>
        <v>-17</v>
      </c>
      <c r="AS94" s="10">
        <v>59.61340736171088</v>
      </c>
      <c r="AT94" s="25">
        <v>41.454472257767684</v>
      </c>
      <c r="AU94" s="25">
        <v>53.64552630443848</v>
      </c>
      <c r="AV94" s="25">
        <v>3.928052795790139</v>
      </c>
      <c r="AW94" s="24">
        <f t="shared" si="68"/>
        <v>37.52641946197755</v>
      </c>
      <c r="AX94" s="25">
        <v>0.9719486420037095</v>
      </c>
      <c r="AY94" s="25">
        <v>42.3231331965385</v>
      </c>
      <c r="AZ94" s="25">
        <v>48.24248371844054</v>
      </c>
      <c r="BA94" s="25">
        <v>7.975733785351056</v>
      </c>
      <c r="BB94" s="24">
        <f t="shared" si="69"/>
        <v>34.347399411187446</v>
      </c>
      <c r="BC94" s="25">
        <v>1.458649299669908</v>
      </c>
      <c r="BD94" s="25">
        <v>55.41846596750977</v>
      </c>
      <c r="BE94" s="25">
        <v>37.81102200287888</v>
      </c>
      <c r="BF94" s="25">
        <v>6.708821714990747</v>
      </c>
      <c r="BG94" s="24">
        <f t="shared" si="70"/>
        <v>48.70964425251902</v>
      </c>
      <c r="BH94" s="25">
        <v>0.061690314620604564</v>
      </c>
      <c r="BI94" s="25">
        <v>47.00482288375187</v>
      </c>
      <c r="BJ94" s="25">
        <v>46.6928321969067</v>
      </c>
      <c r="BK94" s="25">
        <v>5.611175785797439</v>
      </c>
      <c r="BL94" s="24">
        <f t="shared" si="71"/>
        <v>41.39364709795443</v>
      </c>
      <c r="BM94" s="8">
        <v>0.691169133543988</v>
      </c>
      <c r="BN94" s="108" t="s">
        <v>1</v>
      </c>
      <c r="BO94" s="8"/>
      <c r="BP94" s="123" t="s">
        <v>193</v>
      </c>
      <c r="BQ94" s="123" t="s">
        <v>193</v>
      </c>
      <c r="BR94" s="123" t="s">
        <v>193</v>
      </c>
      <c r="BS94" s="123" t="s">
        <v>193</v>
      </c>
      <c r="BT94" s="123" t="s">
        <v>193</v>
      </c>
      <c r="BU94" s="123" t="s">
        <v>193</v>
      </c>
      <c r="BV94" s="123" t="s">
        <v>193</v>
      </c>
      <c r="BW94" s="123" t="s">
        <v>193</v>
      </c>
      <c r="BX94" s="123" t="s">
        <v>193</v>
      </c>
      <c r="BY94" s="123" t="s">
        <v>193</v>
      </c>
      <c r="BZ94" s="123" t="s">
        <v>193</v>
      </c>
      <c r="CA94" s="123" t="s">
        <v>193</v>
      </c>
      <c r="CB94" s="123" t="s">
        <v>193</v>
      </c>
      <c r="CC94" s="123" t="s">
        <v>193</v>
      </c>
      <c r="CD94" s="123" t="s">
        <v>193</v>
      </c>
      <c r="CE94" s="123" t="s">
        <v>193</v>
      </c>
      <c r="CF94" s="123" t="s">
        <v>193</v>
      </c>
      <c r="CG94" s="123" t="s">
        <v>193</v>
      </c>
      <c r="CH94" s="123" t="s">
        <v>193</v>
      </c>
      <c r="CI94" s="123" t="s">
        <v>193</v>
      </c>
      <c r="CJ94" s="123" t="s">
        <v>193</v>
      </c>
      <c r="CK94" s="123" t="s">
        <v>193</v>
      </c>
      <c r="CL94" s="123" t="s">
        <v>193</v>
      </c>
      <c r="CM94" s="123" t="s">
        <v>193</v>
      </c>
      <c r="CN94" s="123" t="s">
        <v>193</v>
      </c>
      <c r="CO94" s="123" t="s">
        <v>193</v>
      </c>
      <c r="CP94" s="123" t="s">
        <v>193</v>
      </c>
      <c r="CQ94" s="123" t="s">
        <v>193</v>
      </c>
      <c r="CR94" s="123" t="s">
        <v>193</v>
      </c>
      <c r="CS94" s="123" t="s">
        <v>193</v>
      </c>
      <c r="CT94" s="123" t="s">
        <v>193</v>
      </c>
      <c r="CU94" s="123" t="s">
        <v>193</v>
      </c>
      <c r="CV94" s="123" t="s">
        <v>193</v>
      </c>
      <c r="CW94" s="123" t="s">
        <v>193</v>
      </c>
      <c r="CX94" s="123" t="s">
        <v>193</v>
      </c>
      <c r="CY94" s="123" t="s">
        <v>193</v>
      </c>
      <c r="CZ94" s="123" t="s">
        <v>193</v>
      </c>
      <c r="DA94" s="123" t="s">
        <v>193</v>
      </c>
      <c r="DB94" s="123" t="s">
        <v>193</v>
      </c>
      <c r="DC94" s="123" t="s">
        <v>193</v>
      </c>
      <c r="DD94" s="123" t="s">
        <v>193</v>
      </c>
      <c r="DE94" s="123" t="s">
        <v>193</v>
      </c>
      <c r="DF94" s="123" t="s">
        <v>193</v>
      </c>
      <c r="DG94" s="123" t="s">
        <v>193</v>
      </c>
      <c r="DH94" s="123" t="s">
        <v>193</v>
      </c>
      <c r="DI94" s="123" t="s">
        <v>193</v>
      </c>
      <c r="DJ94" s="123" t="s">
        <v>193</v>
      </c>
      <c r="DK94" s="123" t="s">
        <v>193</v>
      </c>
      <c r="DL94" s="123" t="s">
        <v>193</v>
      </c>
      <c r="DM94" s="123" t="s">
        <v>193</v>
      </c>
      <c r="DN94" s="123" t="s">
        <v>193</v>
      </c>
      <c r="DO94" s="123" t="s">
        <v>193</v>
      </c>
      <c r="DP94" s="123" t="s">
        <v>193</v>
      </c>
      <c r="DQ94" s="123" t="s">
        <v>193</v>
      </c>
      <c r="DR94" s="123" t="s">
        <v>193</v>
      </c>
      <c r="DS94" s="123" t="s">
        <v>193</v>
      </c>
      <c r="DT94" s="123" t="s">
        <v>193</v>
      </c>
      <c r="DU94" s="123" t="s">
        <v>193</v>
      </c>
      <c r="DV94" s="123" t="s">
        <v>193</v>
      </c>
      <c r="DW94" s="123" t="s">
        <v>193</v>
      </c>
      <c r="DX94" s="123" t="s">
        <v>193</v>
      </c>
      <c r="DY94" s="123" t="s">
        <v>193</v>
      </c>
      <c r="DZ94" s="123" t="s">
        <v>193</v>
      </c>
      <c r="EA94" s="123" t="s">
        <v>193</v>
      </c>
      <c r="EB94" s="123" t="s">
        <v>193</v>
      </c>
      <c r="EC94" s="123" t="s">
        <v>193</v>
      </c>
      <c r="ED94" s="123" t="s">
        <v>193</v>
      </c>
      <c r="EE94" s="123" t="s">
        <v>193</v>
      </c>
      <c r="EF94" s="123" t="s">
        <v>193</v>
      </c>
      <c r="EG94" s="123" t="s">
        <v>193</v>
      </c>
      <c r="EH94" s="123" t="s">
        <v>193</v>
      </c>
      <c r="EI94" s="123" t="s">
        <v>193</v>
      </c>
      <c r="EJ94" s="123" t="s">
        <v>193</v>
      </c>
      <c r="EK94" s="123" t="s">
        <v>193</v>
      </c>
      <c r="EL94" s="123" t="s">
        <v>193</v>
      </c>
      <c r="EM94" s="123" t="s">
        <v>193</v>
      </c>
      <c r="EN94" s="123" t="s">
        <v>193</v>
      </c>
      <c r="EO94" s="123" t="s">
        <v>193</v>
      </c>
      <c r="EP94" s="123" t="s">
        <v>193</v>
      </c>
      <c r="EQ94" s="123" t="s">
        <v>193</v>
      </c>
      <c r="ER94" s="123" t="s">
        <v>193</v>
      </c>
    </row>
    <row r="95" spans="1:148" ht="12">
      <c r="A95" s="1" t="s">
        <v>298</v>
      </c>
      <c r="B95" s="24">
        <f aca="true" t="shared" si="75" ref="B95:AV95">AVERAGE(B91:B94)</f>
        <v>-3</v>
      </c>
      <c r="C95" s="13">
        <f t="shared" si="75"/>
        <v>33.55330118077499</v>
      </c>
      <c r="D95" s="24">
        <f t="shared" si="75"/>
        <v>-11.5</v>
      </c>
      <c r="E95" s="13">
        <f t="shared" si="75"/>
        <v>39.33911805725295</v>
      </c>
      <c r="F95" s="24">
        <f t="shared" si="75"/>
        <v>-6.5</v>
      </c>
      <c r="G95" s="13">
        <f t="shared" si="75"/>
        <v>41.288250512980646</v>
      </c>
      <c r="H95" s="24">
        <f t="shared" si="75"/>
        <v>8.25</v>
      </c>
      <c r="I95" s="13">
        <f t="shared" si="75"/>
        <v>25.422835698128726</v>
      </c>
      <c r="J95" s="24">
        <f t="shared" si="75"/>
        <v>10.25</v>
      </c>
      <c r="K95" s="13">
        <f t="shared" si="75"/>
        <v>30.9580908032596</v>
      </c>
      <c r="L95" s="21">
        <f t="shared" si="75"/>
        <v>0.48925</v>
      </c>
      <c r="M95" s="24">
        <f t="shared" si="75"/>
        <v>7.25</v>
      </c>
      <c r="N95" s="13">
        <f t="shared" si="75"/>
        <v>35.66052249428477</v>
      </c>
      <c r="O95" s="21">
        <f t="shared" si="75"/>
        <v>0.08175000000000011</v>
      </c>
      <c r="P95" s="24">
        <f t="shared" si="75"/>
        <v>5.5</v>
      </c>
      <c r="Q95" s="13">
        <f t="shared" si="75"/>
        <v>33.71174948701936</v>
      </c>
      <c r="R95" s="21">
        <f t="shared" si="75"/>
        <v>0.12925000000000003</v>
      </c>
      <c r="S95" s="24">
        <f t="shared" si="75"/>
        <v>15.5</v>
      </c>
      <c r="T95" s="13">
        <f t="shared" si="75"/>
        <v>24.295702241414766</v>
      </c>
      <c r="U95" s="21">
        <f t="shared" si="75"/>
        <v>1.1132499999999999</v>
      </c>
      <c r="V95" s="24">
        <f t="shared" si="75"/>
        <v>10.75</v>
      </c>
      <c r="W95" s="13">
        <f t="shared" si="75"/>
        <v>83.66605687676702</v>
      </c>
      <c r="X95" s="24">
        <f t="shared" si="75"/>
        <v>14.75</v>
      </c>
      <c r="Y95" s="13">
        <f t="shared" si="75"/>
        <v>76.26058575721413</v>
      </c>
      <c r="Z95" s="24">
        <f t="shared" si="75"/>
        <v>10.75</v>
      </c>
      <c r="AA95" s="13">
        <f t="shared" si="75"/>
        <v>84.11544294763137</v>
      </c>
      <c r="AB95" s="24">
        <f t="shared" si="75"/>
        <v>6</v>
      </c>
      <c r="AC95" s="13">
        <f t="shared" si="75"/>
        <v>92.31955582973474</v>
      </c>
      <c r="AD95" s="24">
        <f t="shared" si="75"/>
        <v>2.5</v>
      </c>
      <c r="AE95" s="13">
        <f t="shared" si="75"/>
        <v>47.091468484949274</v>
      </c>
      <c r="AF95" s="24">
        <f t="shared" si="75"/>
        <v>-7.5</v>
      </c>
      <c r="AG95" s="13">
        <f t="shared" si="75"/>
        <v>50.26599186208682</v>
      </c>
      <c r="AH95" s="24">
        <f t="shared" si="75"/>
        <v>-0.5</v>
      </c>
      <c r="AI95" s="13">
        <f t="shared" si="75"/>
        <v>54.65697207601035</v>
      </c>
      <c r="AJ95" s="24">
        <f t="shared" si="75"/>
        <v>15.5</v>
      </c>
      <c r="AK95" s="13">
        <f t="shared" si="75"/>
        <v>40.40158681198163</v>
      </c>
      <c r="AL95" s="24">
        <f t="shared" si="75"/>
        <v>-5.5</v>
      </c>
      <c r="AM95" s="13">
        <f t="shared" si="75"/>
        <v>55.93796773657077</v>
      </c>
      <c r="AN95" s="24">
        <f t="shared" si="75"/>
        <v>-16.75</v>
      </c>
      <c r="AO95" s="13">
        <f t="shared" si="75"/>
        <v>53.17860275193743</v>
      </c>
      <c r="AP95" s="24">
        <f t="shared" si="75"/>
        <v>-7.75</v>
      </c>
      <c r="AQ95" s="13">
        <f t="shared" si="75"/>
        <v>60.528370059773394</v>
      </c>
      <c r="AR95" s="24">
        <f t="shared" si="75"/>
        <v>9.25</v>
      </c>
      <c r="AS95" s="13">
        <f t="shared" si="75"/>
        <v>57.46324285420522</v>
      </c>
      <c r="AT95" s="13">
        <f t="shared" si="75"/>
        <v>37.46531322339003</v>
      </c>
      <c r="AU95" s="13">
        <f t="shared" si="75"/>
        <v>51.77351871288695</v>
      </c>
      <c r="AV95" s="13">
        <f t="shared" si="75"/>
        <v>8.064226251240097</v>
      </c>
      <c r="AW95" s="24">
        <f t="shared" si="68"/>
        <v>29.40108697214993</v>
      </c>
      <c r="AX95" s="13">
        <f>AVERAGE(AX91:AX94)</f>
        <v>2.696941812482926</v>
      </c>
      <c r="AY95" s="13">
        <f>AVERAGE(AY91:AY94)</f>
        <v>45.93630118654652</v>
      </c>
      <c r="AZ95" s="13">
        <f>AVERAGE(AZ91:AZ94)</f>
        <v>44.55905968418236</v>
      </c>
      <c r="BA95" s="13">
        <f>AVERAGE(BA91:BA94)</f>
        <v>8.285752520296189</v>
      </c>
      <c r="BB95" s="24">
        <f t="shared" si="69"/>
        <v>37.65054866625033</v>
      </c>
      <c r="BC95" s="13">
        <f>AVERAGE(BC91:BC94)</f>
        <v>1.2188866089749308</v>
      </c>
      <c r="BD95" s="13">
        <f>AVERAGE(BD91:BD94)</f>
        <v>61.03785386249915</v>
      </c>
      <c r="BE95" s="13">
        <f>AVERAGE(BE91:BE94)</f>
        <v>33.83499554458839</v>
      </c>
      <c r="BF95" s="13">
        <f>AVERAGE(BF91:BF94)</f>
        <v>4.675183357324012</v>
      </c>
      <c r="BG95" s="24">
        <f t="shared" si="70"/>
        <v>56.36267050517514</v>
      </c>
      <c r="BH95" s="13">
        <f>AVERAGE(BH91:BH94)</f>
        <v>0.45196723558845703</v>
      </c>
      <c r="BI95" s="13">
        <f>AVERAGE(BI91:BI94)</f>
        <v>47.879427906203226</v>
      </c>
      <c r="BJ95" s="13">
        <f>AVERAGE(BJ91:BJ94)</f>
        <v>43.73390986196574</v>
      </c>
      <c r="BK95" s="13">
        <f>AVERAGE(BK91:BK94)</f>
        <v>6.781639780475636</v>
      </c>
      <c r="BL95" s="24">
        <f t="shared" si="71"/>
        <v>41.09778812572759</v>
      </c>
      <c r="BM95" s="13">
        <f>AVERAGE(BM91:BM94)</f>
        <v>1.6050224513553963</v>
      </c>
      <c r="BN95" s="108" t="s">
        <v>1</v>
      </c>
      <c r="BO95" s="13"/>
      <c r="BP95" s="123" t="s">
        <v>193</v>
      </c>
      <c r="BQ95" s="123" t="s">
        <v>193</v>
      </c>
      <c r="BR95" s="123" t="s">
        <v>193</v>
      </c>
      <c r="BS95" s="123" t="s">
        <v>193</v>
      </c>
      <c r="BT95" s="123" t="s">
        <v>193</v>
      </c>
      <c r="BU95" s="123" t="s">
        <v>193</v>
      </c>
      <c r="BV95" s="123" t="s">
        <v>193</v>
      </c>
      <c r="BW95" s="123" t="s">
        <v>193</v>
      </c>
      <c r="BX95" s="123" t="s">
        <v>193</v>
      </c>
      <c r="BY95" s="123" t="s">
        <v>193</v>
      </c>
      <c r="BZ95" s="123" t="s">
        <v>193</v>
      </c>
      <c r="CA95" s="123" t="s">
        <v>193</v>
      </c>
      <c r="CB95" s="123" t="s">
        <v>193</v>
      </c>
      <c r="CC95" s="123" t="s">
        <v>193</v>
      </c>
      <c r="CD95" s="123" t="s">
        <v>193</v>
      </c>
      <c r="CE95" s="123" t="s">
        <v>193</v>
      </c>
      <c r="CF95" s="123" t="s">
        <v>193</v>
      </c>
      <c r="CG95" s="123" t="s">
        <v>193</v>
      </c>
      <c r="CH95" s="123" t="s">
        <v>193</v>
      </c>
      <c r="CI95" s="123" t="s">
        <v>193</v>
      </c>
      <c r="CJ95" s="123" t="s">
        <v>193</v>
      </c>
      <c r="CK95" s="123" t="s">
        <v>193</v>
      </c>
      <c r="CL95" s="123" t="s">
        <v>193</v>
      </c>
      <c r="CM95" s="123" t="s">
        <v>193</v>
      </c>
      <c r="CN95" s="123" t="s">
        <v>193</v>
      </c>
      <c r="CO95" s="123" t="s">
        <v>193</v>
      </c>
      <c r="CP95" s="123" t="s">
        <v>193</v>
      </c>
      <c r="CQ95" s="123" t="s">
        <v>193</v>
      </c>
      <c r="CR95" s="123" t="s">
        <v>193</v>
      </c>
      <c r="CS95" s="123" t="s">
        <v>193</v>
      </c>
      <c r="CT95" s="123" t="s">
        <v>193</v>
      </c>
      <c r="CU95" s="123" t="s">
        <v>193</v>
      </c>
      <c r="CV95" s="123" t="s">
        <v>193</v>
      </c>
      <c r="CW95" s="123" t="s">
        <v>193</v>
      </c>
      <c r="CX95" s="123" t="s">
        <v>193</v>
      </c>
      <c r="CY95" s="123" t="s">
        <v>193</v>
      </c>
      <c r="CZ95" s="123" t="s">
        <v>193</v>
      </c>
      <c r="DA95" s="123" t="s">
        <v>193</v>
      </c>
      <c r="DB95" s="123" t="s">
        <v>193</v>
      </c>
      <c r="DC95" s="123" t="s">
        <v>193</v>
      </c>
      <c r="DD95" s="123" t="s">
        <v>193</v>
      </c>
      <c r="DE95" s="123" t="s">
        <v>193</v>
      </c>
      <c r="DF95" s="123" t="s">
        <v>193</v>
      </c>
      <c r="DG95" s="123" t="s">
        <v>193</v>
      </c>
      <c r="DH95" s="123" t="s">
        <v>193</v>
      </c>
      <c r="DI95" s="123" t="s">
        <v>193</v>
      </c>
      <c r="DJ95" s="123" t="s">
        <v>193</v>
      </c>
      <c r="DK95" s="123" t="s">
        <v>193</v>
      </c>
      <c r="DL95" s="123" t="s">
        <v>193</v>
      </c>
      <c r="DM95" s="123" t="s">
        <v>193</v>
      </c>
      <c r="DN95" s="123" t="s">
        <v>193</v>
      </c>
      <c r="DO95" s="123" t="s">
        <v>193</v>
      </c>
      <c r="DP95" s="123" t="s">
        <v>193</v>
      </c>
      <c r="DQ95" s="123" t="s">
        <v>193</v>
      </c>
      <c r="DR95" s="123" t="s">
        <v>193</v>
      </c>
      <c r="DS95" s="123" t="s">
        <v>193</v>
      </c>
      <c r="DT95" s="123" t="s">
        <v>193</v>
      </c>
      <c r="DU95" s="123" t="s">
        <v>193</v>
      </c>
      <c r="DV95" s="123" t="s">
        <v>193</v>
      </c>
      <c r="DW95" s="123" t="s">
        <v>193</v>
      </c>
      <c r="DX95" s="123" t="s">
        <v>193</v>
      </c>
      <c r="DY95" s="123" t="s">
        <v>193</v>
      </c>
      <c r="DZ95" s="123" t="s">
        <v>193</v>
      </c>
      <c r="EA95" s="123" t="s">
        <v>193</v>
      </c>
      <c r="EB95" s="123" t="s">
        <v>193</v>
      </c>
      <c r="EC95" s="123" t="s">
        <v>193</v>
      </c>
      <c r="ED95" s="123" t="s">
        <v>193</v>
      </c>
      <c r="EE95" s="123" t="s">
        <v>193</v>
      </c>
      <c r="EF95" s="123" t="s">
        <v>193</v>
      </c>
      <c r="EG95" s="123" t="s">
        <v>193</v>
      </c>
      <c r="EH95" s="123" t="s">
        <v>193</v>
      </c>
      <c r="EI95" s="123" t="s">
        <v>193</v>
      </c>
      <c r="EJ95" s="123" t="s">
        <v>193</v>
      </c>
      <c r="EK95" s="123" t="s">
        <v>193</v>
      </c>
      <c r="EL95" s="123" t="s">
        <v>193</v>
      </c>
      <c r="EM95" s="123" t="s">
        <v>193</v>
      </c>
      <c r="EN95" s="123" t="s">
        <v>193</v>
      </c>
      <c r="EO95" s="123" t="s">
        <v>193</v>
      </c>
      <c r="EP95" s="123" t="s">
        <v>193</v>
      </c>
      <c r="EQ95" s="123" t="s">
        <v>193</v>
      </c>
      <c r="ER95" s="123" t="s">
        <v>193</v>
      </c>
    </row>
    <row r="96" spans="1:148" ht="12">
      <c r="A96" s="1" t="s">
        <v>299</v>
      </c>
      <c r="B96" s="24">
        <f>15-49</f>
        <v>-34</v>
      </c>
      <c r="C96" s="8">
        <v>35.946575724019866</v>
      </c>
      <c r="D96" s="23">
        <f>16-43</f>
        <v>-27</v>
      </c>
      <c r="E96" s="8">
        <v>40.20115411431369</v>
      </c>
      <c r="F96" s="23">
        <f>16-38</f>
        <v>-22</v>
      </c>
      <c r="G96" s="8">
        <v>46.19809203142536</v>
      </c>
      <c r="H96" s="23">
        <f>14-59</f>
        <v>-45</v>
      </c>
      <c r="I96" s="8">
        <v>27.282377919320595</v>
      </c>
      <c r="J96" s="23">
        <f>40-28</f>
        <v>12</v>
      </c>
      <c r="K96" s="8">
        <v>31.466925726397598</v>
      </c>
      <c r="L96" s="20">
        <v>0.528</v>
      </c>
      <c r="M96" s="23">
        <f>32-33</f>
        <v>-1</v>
      </c>
      <c r="N96" s="8">
        <v>35.04175876340657</v>
      </c>
      <c r="O96" s="20">
        <v>-0.588</v>
      </c>
      <c r="P96" s="23">
        <f>30-32</f>
        <v>-2</v>
      </c>
      <c r="Q96" s="8">
        <v>37.93490460157127</v>
      </c>
      <c r="R96" s="20">
        <v>-0.83</v>
      </c>
      <c r="S96" s="23">
        <f>54-21</f>
        <v>33</v>
      </c>
      <c r="T96" s="8">
        <v>24.972604616122183</v>
      </c>
      <c r="U96" s="20">
        <v>2.314</v>
      </c>
      <c r="V96" s="23">
        <f>12-3</f>
        <v>9</v>
      </c>
      <c r="W96" s="10">
        <v>85.58482054905264</v>
      </c>
      <c r="X96" s="23">
        <f>18-3</f>
        <v>15</v>
      </c>
      <c r="Y96" s="10">
        <v>78.95002299328003</v>
      </c>
      <c r="Z96" s="23">
        <f>13-1</f>
        <v>12</v>
      </c>
      <c r="AA96" s="10">
        <v>85.87729143284699</v>
      </c>
      <c r="AB96" s="23">
        <f>4-3</f>
        <v>1</v>
      </c>
      <c r="AC96" s="10">
        <v>93.13574412711458</v>
      </c>
      <c r="AD96" s="23">
        <f>30-16</f>
        <v>14</v>
      </c>
      <c r="AE96" s="10">
        <v>54.06082921758979</v>
      </c>
      <c r="AF96" s="23">
        <f>21-22</f>
        <v>-1</v>
      </c>
      <c r="AG96" s="10">
        <v>56.78301760840219</v>
      </c>
      <c r="AH96" s="23">
        <f>23-16</f>
        <v>7</v>
      </c>
      <c r="AI96" s="10">
        <v>61.31687242798354</v>
      </c>
      <c r="AJ96" s="23">
        <f>43-8</f>
        <v>35</v>
      </c>
      <c r="AK96" s="10">
        <v>48.26210533525101</v>
      </c>
      <c r="AL96" s="23">
        <f>18-19</f>
        <v>-1</v>
      </c>
      <c r="AM96" s="10">
        <v>63.084667694753364</v>
      </c>
      <c r="AN96" s="23">
        <f>14-26</f>
        <v>-12</v>
      </c>
      <c r="AO96" s="10">
        <v>59.67572057972734</v>
      </c>
      <c r="AP96" s="23">
        <f>14-21</f>
        <v>-7</v>
      </c>
      <c r="AQ96" s="10">
        <v>65.22166105499439</v>
      </c>
      <c r="AR96" s="23">
        <f>25-9</f>
        <v>16</v>
      </c>
      <c r="AS96" s="10">
        <v>66.23690158208342</v>
      </c>
      <c r="AT96" s="25">
        <v>38.521902953523906</v>
      </c>
      <c r="AU96" s="25">
        <v>53.79240776727834</v>
      </c>
      <c r="AV96" s="25">
        <v>6.70513714378959</v>
      </c>
      <c r="AW96" s="24">
        <f>AT96-AV96</f>
        <v>31.816765809734317</v>
      </c>
      <c r="AX96" s="25">
        <v>0.9805521354081679</v>
      </c>
      <c r="AY96" s="25">
        <v>43.23325851103629</v>
      </c>
      <c r="AZ96" s="25">
        <v>46.13729891507669</v>
      </c>
      <c r="BA96" s="25">
        <v>9.974747474747476</v>
      </c>
      <c r="BB96" s="24">
        <f>AY96-BA96</f>
        <v>33.258511036288816</v>
      </c>
      <c r="BC96" s="25">
        <v>0.6546950991395436</v>
      </c>
      <c r="BD96" s="25">
        <v>73.33915485240738</v>
      </c>
      <c r="BE96" s="25">
        <v>24.505170878706938</v>
      </c>
      <c r="BF96" s="25">
        <v>2.1556742688856927</v>
      </c>
      <c r="BG96" s="24">
        <f>BD96-BF96</f>
        <v>71.18348058352169</v>
      </c>
      <c r="BH96" s="12">
        <v>0</v>
      </c>
      <c r="BI96" s="8">
        <v>53.02074063003145</v>
      </c>
      <c r="BJ96" s="8">
        <v>41.06006154933118</v>
      </c>
      <c r="BK96" s="8">
        <v>5.375036515193718</v>
      </c>
      <c r="BL96" s="24">
        <f>BI96-BK96</f>
        <v>47.64570411483773</v>
      </c>
      <c r="BM96" s="8">
        <v>0.5441613054436512</v>
      </c>
      <c r="BN96" s="108" t="s">
        <v>1</v>
      </c>
      <c r="BO96" s="8"/>
      <c r="BP96" s="123" t="s">
        <v>193</v>
      </c>
      <c r="BQ96" s="123" t="s">
        <v>193</v>
      </c>
      <c r="BR96" s="123" t="s">
        <v>193</v>
      </c>
      <c r="BS96" s="123" t="s">
        <v>193</v>
      </c>
      <c r="BT96" s="123" t="s">
        <v>193</v>
      </c>
      <c r="BU96" s="123" t="s">
        <v>193</v>
      </c>
      <c r="BV96" s="123" t="s">
        <v>193</v>
      </c>
      <c r="BW96" s="123" t="s">
        <v>193</v>
      </c>
      <c r="BX96" s="123" t="s">
        <v>193</v>
      </c>
      <c r="BY96" s="123" t="s">
        <v>193</v>
      </c>
      <c r="BZ96" s="123" t="s">
        <v>193</v>
      </c>
      <c r="CA96" s="123" t="s">
        <v>193</v>
      </c>
      <c r="CB96" s="123" t="s">
        <v>193</v>
      </c>
      <c r="CC96" s="123" t="s">
        <v>193</v>
      </c>
      <c r="CD96" s="123" t="s">
        <v>193</v>
      </c>
      <c r="CE96" s="123" t="s">
        <v>193</v>
      </c>
      <c r="CF96" s="123" t="s">
        <v>193</v>
      </c>
      <c r="CG96" s="123" t="s">
        <v>193</v>
      </c>
      <c r="CH96" s="123" t="s">
        <v>193</v>
      </c>
      <c r="CI96" s="123" t="s">
        <v>193</v>
      </c>
      <c r="CJ96" s="123" t="s">
        <v>193</v>
      </c>
      <c r="CK96" s="123" t="s">
        <v>193</v>
      </c>
      <c r="CL96" s="123" t="s">
        <v>193</v>
      </c>
      <c r="CM96" s="123" t="s">
        <v>193</v>
      </c>
      <c r="CN96" s="123" t="s">
        <v>193</v>
      </c>
      <c r="CO96" s="123" t="s">
        <v>193</v>
      </c>
      <c r="CP96" s="123" t="s">
        <v>193</v>
      </c>
      <c r="CQ96" s="123" t="s">
        <v>193</v>
      </c>
      <c r="CR96" s="123" t="s">
        <v>193</v>
      </c>
      <c r="CS96" s="123" t="s">
        <v>193</v>
      </c>
      <c r="CT96" s="123" t="s">
        <v>193</v>
      </c>
      <c r="CU96" s="123" t="s">
        <v>193</v>
      </c>
      <c r="CV96" s="123" t="s">
        <v>193</v>
      </c>
      <c r="CW96" s="123" t="s">
        <v>193</v>
      </c>
      <c r="CX96" s="123" t="s">
        <v>193</v>
      </c>
      <c r="CY96" s="123" t="s">
        <v>193</v>
      </c>
      <c r="CZ96" s="123" t="s">
        <v>193</v>
      </c>
      <c r="DA96" s="123" t="s">
        <v>193</v>
      </c>
      <c r="DB96" s="123" t="s">
        <v>193</v>
      </c>
      <c r="DC96" s="123" t="s">
        <v>193</v>
      </c>
      <c r="DD96" s="123" t="s">
        <v>193</v>
      </c>
      <c r="DE96" s="123" t="s">
        <v>193</v>
      </c>
      <c r="DF96" s="123" t="s">
        <v>193</v>
      </c>
      <c r="DG96" s="123" t="s">
        <v>193</v>
      </c>
      <c r="DH96" s="123" t="s">
        <v>193</v>
      </c>
      <c r="DI96" s="123" t="s">
        <v>193</v>
      </c>
      <c r="DJ96" s="123" t="s">
        <v>193</v>
      </c>
      <c r="DK96" s="123" t="s">
        <v>193</v>
      </c>
      <c r="DL96" s="123" t="s">
        <v>193</v>
      </c>
      <c r="DM96" s="123" t="s">
        <v>193</v>
      </c>
      <c r="DN96" s="123" t="s">
        <v>193</v>
      </c>
      <c r="DO96" s="123" t="s">
        <v>193</v>
      </c>
      <c r="DP96" s="123" t="s">
        <v>193</v>
      </c>
      <c r="DQ96" s="123" t="s">
        <v>193</v>
      </c>
      <c r="DR96" s="123" t="s">
        <v>193</v>
      </c>
      <c r="DS96" s="123" t="s">
        <v>193</v>
      </c>
      <c r="DT96" s="123" t="s">
        <v>193</v>
      </c>
      <c r="DU96" s="123" t="s">
        <v>193</v>
      </c>
      <c r="DV96" s="123" t="s">
        <v>193</v>
      </c>
      <c r="DW96" s="123" t="s">
        <v>193</v>
      </c>
      <c r="DX96" s="123" t="s">
        <v>193</v>
      </c>
      <c r="DY96" s="123" t="s">
        <v>193</v>
      </c>
      <c r="DZ96" s="123" t="s">
        <v>193</v>
      </c>
      <c r="EA96" s="123" t="s">
        <v>193</v>
      </c>
      <c r="EB96" s="123" t="s">
        <v>193</v>
      </c>
      <c r="EC96" s="123" t="s">
        <v>193</v>
      </c>
      <c r="ED96" s="123" t="s">
        <v>193</v>
      </c>
      <c r="EE96" s="123" t="s">
        <v>193</v>
      </c>
      <c r="EF96" s="123" t="s">
        <v>193</v>
      </c>
      <c r="EG96" s="123" t="s">
        <v>193</v>
      </c>
      <c r="EH96" s="123" t="s">
        <v>193</v>
      </c>
      <c r="EI96" s="123" t="s">
        <v>193</v>
      </c>
      <c r="EJ96" s="123" t="s">
        <v>193</v>
      </c>
      <c r="EK96" s="123" t="s">
        <v>193</v>
      </c>
      <c r="EL96" s="123" t="s">
        <v>193</v>
      </c>
      <c r="EM96" s="123" t="s">
        <v>193</v>
      </c>
      <c r="EN96" s="123" t="s">
        <v>193</v>
      </c>
      <c r="EO96" s="123" t="s">
        <v>193</v>
      </c>
      <c r="EP96" s="123" t="s">
        <v>193</v>
      </c>
      <c r="EQ96" s="123" t="s">
        <v>193</v>
      </c>
      <c r="ER96" s="123" t="s">
        <v>193</v>
      </c>
    </row>
    <row r="97" spans="1:148" ht="12">
      <c r="A97" s="1" t="s">
        <v>36</v>
      </c>
      <c r="B97" s="24">
        <f>27-39</f>
        <v>-12</v>
      </c>
      <c r="C97" s="8">
        <v>34.36979870787166</v>
      </c>
      <c r="D97" s="23">
        <f>26-36</f>
        <v>-10</v>
      </c>
      <c r="E97" s="8">
        <v>38.10802391301123</v>
      </c>
      <c r="F97" s="23">
        <f>26-33</f>
        <v>-7</v>
      </c>
      <c r="G97" s="8">
        <v>40.84362139917695</v>
      </c>
      <c r="H97" s="23">
        <f>28-44</f>
        <v>-16</v>
      </c>
      <c r="I97" s="8">
        <v>27.684747620026023</v>
      </c>
      <c r="J97" s="23">
        <f>38-34</f>
        <v>4</v>
      </c>
      <c r="K97" s="8">
        <v>27.732525356829868</v>
      </c>
      <c r="L97" s="20">
        <v>-0.339</v>
      </c>
      <c r="M97" s="23">
        <f>27-41</f>
        <v>-14</v>
      </c>
      <c r="N97" s="8">
        <v>32.06449985907345</v>
      </c>
      <c r="O97" s="20">
        <v>-1.355</v>
      </c>
      <c r="P97" s="23">
        <f>32-37</f>
        <v>-5</v>
      </c>
      <c r="Q97" s="8">
        <v>31.673213617658064</v>
      </c>
      <c r="R97" s="20">
        <v>-0.89</v>
      </c>
      <c r="S97" s="23">
        <f>54-24</f>
        <v>30</v>
      </c>
      <c r="T97" s="8">
        <v>21.289637696048217</v>
      </c>
      <c r="U97" s="20">
        <v>1.034</v>
      </c>
      <c r="V97" s="23">
        <f>11-3</f>
        <v>8</v>
      </c>
      <c r="W97" s="10">
        <v>86.19623774618034</v>
      </c>
      <c r="X97" s="23">
        <f>17-4</f>
        <v>13</v>
      </c>
      <c r="Y97" s="10">
        <v>79.11913485929595</v>
      </c>
      <c r="Z97" s="23">
        <f>9-2</f>
        <v>7</v>
      </c>
      <c r="AA97" s="10">
        <v>88.86083052749719</v>
      </c>
      <c r="AB97" s="23">
        <f>5-1</f>
        <v>4</v>
      </c>
      <c r="AC97" s="10">
        <v>93.38915142798439</v>
      </c>
      <c r="AD97" s="23">
        <f>28-21</f>
        <v>7</v>
      </c>
      <c r="AE97" s="10">
        <v>50.59749047208201</v>
      </c>
      <c r="AF97" s="23">
        <f>17-31</f>
        <v>-14</v>
      </c>
      <c r="AG97" s="10">
        <v>51.844654433252735</v>
      </c>
      <c r="AH97" s="23">
        <f>15-23</f>
        <v>-8</v>
      </c>
      <c r="AI97" s="10">
        <v>62.40647212869435</v>
      </c>
      <c r="AJ97" s="23">
        <f>45-10</f>
        <v>35</v>
      </c>
      <c r="AK97" s="10">
        <v>44.83425792753921</v>
      </c>
      <c r="AL97" s="23">
        <f>13-26</f>
        <v>-13</v>
      </c>
      <c r="AM97" s="10">
        <v>60.60435193173866</v>
      </c>
      <c r="AN97" s="23">
        <f>11-37</f>
        <v>-26</v>
      </c>
      <c r="AO97" s="10">
        <v>52.289685659610456</v>
      </c>
      <c r="AP97" s="23">
        <f>10-27</f>
        <v>-17</v>
      </c>
      <c r="AQ97" s="10">
        <v>63.04713804713805</v>
      </c>
      <c r="AR97" s="23">
        <f>17-14</f>
        <v>3</v>
      </c>
      <c r="AS97" s="10">
        <v>69.30689678789123</v>
      </c>
      <c r="AT97" s="25">
        <v>33.98555131951759</v>
      </c>
      <c r="AU97" s="25">
        <v>55.58736704692112</v>
      </c>
      <c r="AV97" s="25">
        <v>6.691786206998858</v>
      </c>
      <c r="AW97" s="24">
        <f>AT97-AV97</f>
        <v>27.293765112518734</v>
      </c>
      <c r="AX97" s="25">
        <v>3.735295426562431</v>
      </c>
      <c r="AY97" s="25">
        <v>41.56378600823045</v>
      </c>
      <c r="AZ97" s="25">
        <v>50.35540591096147</v>
      </c>
      <c r="BA97" s="25">
        <v>6.369248035914703</v>
      </c>
      <c r="BB97" s="24">
        <f>AY97-BA97</f>
        <v>35.19453797231575</v>
      </c>
      <c r="BC97" s="25">
        <v>1.711560044893378</v>
      </c>
      <c r="BD97" s="25">
        <v>74.38189165125677</v>
      </c>
      <c r="BE97" s="25">
        <v>24.29285665365386</v>
      </c>
      <c r="BF97" s="25">
        <v>1.2704609273337444</v>
      </c>
      <c r="BG97" s="24">
        <f>BD97-BF97</f>
        <v>73.11143072392302</v>
      </c>
      <c r="BH97" s="25">
        <v>0.05479076775563317</v>
      </c>
      <c r="BI97" s="25">
        <v>51.11447767987555</v>
      </c>
      <c r="BJ97" s="25">
        <v>42.410614202542135</v>
      </c>
      <c r="BK97" s="25">
        <v>4.4939163988885795</v>
      </c>
      <c r="BL97" s="24">
        <f>BI97-BK97</f>
        <v>46.62056128098697</v>
      </c>
      <c r="BM97" s="25">
        <v>1.980991718693741</v>
      </c>
      <c r="BN97" s="108" t="s">
        <v>1</v>
      </c>
      <c r="BO97" s="8"/>
      <c r="BP97" s="123" t="s">
        <v>193</v>
      </c>
      <c r="BQ97" s="123" t="s">
        <v>193</v>
      </c>
      <c r="BR97" s="123" t="s">
        <v>193</v>
      </c>
      <c r="BS97" s="123" t="s">
        <v>193</v>
      </c>
      <c r="BT97" s="123" t="s">
        <v>193</v>
      </c>
      <c r="BU97" s="123" t="s">
        <v>193</v>
      </c>
      <c r="BV97" s="123" t="s">
        <v>193</v>
      </c>
      <c r="BW97" s="123" t="s">
        <v>193</v>
      </c>
      <c r="BX97" s="123" t="s">
        <v>193</v>
      </c>
      <c r="BY97" s="123" t="s">
        <v>193</v>
      </c>
      <c r="BZ97" s="123" t="s">
        <v>193</v>
      </c>
      <c r="CA97" s="123" t="s">
        <v>193</v>
      </c>
      <c r="CB97" s="123" t="s">
        <v>193</v>
      </c>
      <c r="CC97" s="123" t="s">
        <v>193</v>
      </c>
      <c r="CD97" s="123" t="s">
        <v>193</v>
      </c>
      <c r="CE97" s="123" t="s">
        <v>193</v>
      </c>
      <c r="CF97" s="123" t="s">
        <v>193</v>
      </c>
      <c r="CG97" s="123" t="s">
        <v>193</v>
      </c>
      <c r="CH97" s="123" t="s">
        <v>193</v>
      </c>
      <c r="CI97" s="123" t="s">
        <v>193</v>
      </c>
      <c r="CJ97" s="123" t="s">
        <v>193</v>
      </c>
      <c r="CK97" s="123" t="s">
        <v>193</v>
      </c>
      <c r="CL97" s="123" t="s">
        <v>193</v>
      </c>
      <c r="CM97" s="123" t="s">
        <v>193</v>
      </c>
      <c r="CN97" s="123" t="s">
        <v>193</v>
      </c>
      <c r="CO97" s="123" t="s">
        <v>193</v>
      </c>
      <c r="CP97" s="123" t="s">
        <v>193</v>
      </c>
      <c r="CQ97" s="123" t="s">
        <v>193</v>
      </c>
      <c r="CR97" s="123" t="s">
        <v>193</v>
      </c>
      <c r="CS97" s="123" t="s">
        <v>193</v>
      </c>
      <c r="CT97" s="123" t="s">
        <v>193</v>
      </c>
      <c r="CU97" s="123" t="s">
        <v>193</v>
      </c>
      <c r="CV97" s="123" t="s">
        <v>193</v>
      </c>
      <c r="CW97" s="123" t="s">
        <v>193</v>
      </c>
      <c r="CX97" s="123" t="s">
        <v>193</v>
      </c>
      <c r="CY97" s="123" t="s">
        <v>193</v>
      </c>
      <c r="CZ97" s="123" t="s">
        <v>193</v>
      </c>
      <c r="DA97" s="123" t="s">
        <v>193</v>
      </c>
      <c r="DB97" s="123" t="s">
        <v>193</v>
      </c>
      <c r="DC97" s="123" t="s">
        <v>193</v>
      </c>
      <c r="DD97" s="123" t="s">
        <v>193</v>
      </c>
      <c r="DE97" s="123" t="s">
        <v>193</v>
      </c>
      <c r="DF97" s="123" t="s">
        <v>193</v>
      </c>
      <c r="DG97" s="123" t="s">
        <v>193</v>
      </c>
      <c r="DH97" s="123" t="s">
        <v>193</v>
      </c>
      <c r="DI97" s="123" t="s">
        <v>193</v>
      </c>
      <c r="DJ97" s="123" t="s">
        <v>193</v>
      </c>
      <c r="DK97" s="123" t="s">
        <v>193</v>
      </c>
      <c r="DL97" s="123" t="s">
        <v>193</v>
      </c>
      <c r="DM97" s="123" t="s">
        <v>193</v>
      </c>
      <c r="DN97" s="123" t="s">
        <v>193</v>
      </c>
      <c r="DO97" s="123" t="s">
        <v>193</v>
      </c>
      <c r="DP97" s="123" t="s">
        <v>193</v>
      </c>
      <c r="DQ97" s="123" t="s">
        <v>193</v>
      </c>
      <c r="DR97" s="123" t="s">
        <v>193</v>
      </c>
      <c r="DS97" s="123" t="s">
        <v>193</v>
      </c>
      <c r="DT97" s="123" t="s">
        <v>193</v>
      </c>
      <c r="DU97" s="123" t="s">
        <v>193</v>
      </c>
      <c r="DV97" s="123" t="s">
        <v>193</v>
      </c>
      <c r="DW97" s="123" t="s">
        <v>193</v>
      </c>
      <c r="DX97" s="123" t="s">
        <v>193</v>
      </c>
      <c r="DY97" s="123" t="s">
        <v>193</v>
      </c>
      <c r="DZ97" s="123" t="s">
        <v>193</v>
      </c>
      <c r="EA97" s="123" t="s">
        <v>193</v>
      </c>
      <c r="EB97" s="123" t="s">
        <v>193</v>
      </c>
      <c r="EC97" s="123" t="s">
        <v>193</v>
      </c>
      <c r="ED97" s="123" t="s">
        <v>193</v>
      </c>
      <c r="EE97" s="123" t="s">
        <v>193</v>
      </c>
      <c r="EF97" s="123" t="s">
        <v>193</v>
      </c>
      <c r="EG97" s="123" t="s">
        <v>193</v>
      </c>
      <c r="EH97" s="123" t="s">
        <v>193</v>
      </c>
      <c r="EI97" s="123" t="s">
        <v>193</v>
      </c>
      <c r="EJ97" s="123" t="s">
        <v>193</v>
      </c>
      <c r="EK97" s="123" t="s">
        <v>193</v>
      </c>
      <c r="EL97" s="123" t="s">
        <v>193</v>
      </c>
      <c r="EM97" s="123" t="s">
        <v>193</v>
      </c>
      <c r="EN97" s="123" t="s">
        <v>193</v>
      </c>
      <c r="EO97" s="123" t="s">
        <v>193</v>
      </c>
      <c r="EP97" s="123" t="s">
        <v>193</v>
      </c>
      <c r="EQ97" s="123" t="s">
        <v>193</v>
      </c>
      <c r="ER97" s="123" t="s">
        <v>193</v>
      </c>
    </row>
    <row r="98" spans="1:146" ht="12">
      <c r="A98" s="1" t="s">
        <v>32</v>
      </c>
      <c r="B98" s="24">
        <f>25-35</f>
        <v>-10</v>
      </c>
      <c r="C98" s="8">
        <v>40.59062901242535</v>
      </c>
      <c r="D98" s="23">
        <f>20-40</f>
        <v>-20</v>
      </c>
      <c r="E98" s="8">
        <v>39.80359288543413</v>
      </c>
      <c r="F98" s="23">
        <f>19-38</f>
        <v>-19</v>
      </c>
      <c r="G98" s="8">
        <v>42.82173587729143</v>
      </c>
      <c r="H98" s="23">
        <f>32-28</f>
        <v>4</v>
      </c>
      <c r="I98" s="8">
        <v>40.68214505855764</v>
      </c>
      <c r="J98" s="23">
        <f>25-46</f>
        <v>-21</v>
      </c>
      <c r="K98" s="8">
        <v>28.9750609718816</v>
      </c>
      <c r="L98" s="20">
        <v>-1.047</v>
      </c>
      <c r="M98" s="23">
        <f>23-45</f>
        <v>-22</v>
      </c>
      <c r="N98" s="8">
        <v>32.457610775689425</v>
      </c>
      <c r="O98" s="20">
        <v>-1.412</v>
      </c>
      <c r="P98" s="23">
        <f>24-40</f>
        <v>-16</v>
      </c>
      <c r="Q98" s="8">
        <v>35.68088290310513</v>
      </c>
      <c r="R98" s="20">
        <v>-1.716</v>
      </c>
      <c r="S98" s="23">
        <f>28-50</f>
        <v>-22</v>
      </c>
      <c r="T98" s="8">
        <v>22.500171221149238</v>
      </c>
      <c r="U98" s="20">
        <v>-0.382</v>
      </c>
      <c r="V98" s="23">
        <f>12-3</f>
        <v>9</v>
      </c>
      <c r="W98" s="10">
        <v>84.84568509296938</v>
      </c>
      <c r="X98" s="23">
        <f>18-4</f>
        <v>14</v>
      </c>
      <c r="Y98" s="10">
        <v>78.30176084021896</v>
      </c>
      <c r="Z98" s="23">
        <f>13-2</f>
        <v>11</v>
      </c>
      <c r="AA98" s="10">
        <v>84.26393565282454</v>
      </c>
      <c r="AB98" s="23">
        <f>6-1</f>
        <v>5</v>
      </c>
      <c r="AC98" s="10">
        <v>92.61180741045135</v>
      </c>
      <c r="AD98" s="23">
        <f>38-20</f>
        <v>18</v>
      </c>
      <c r="AE98" s="10">
        <v>41.629358895101184</v>
      </c>
      <c r="AF98" s="23">
        <f>30-27</f>
        <v>3</v>
      </c>
      <c r="AG98" s="10">
        <v>43.050837400424264</v>
      </c>
      <c r="AH98" s="23">
        <f>28-21</f>
        <v>7</v>
      </c>
      <c r="AI98" s="10">
        <v>51.07089412644969</v>
      </c>
      <c r="AJ98" s="23">
        <f>50-13</f>
        <v>37</v>
      </c>
      <c r="AK98" s="10">
        <v>36.53174440106842</v>
      </c>
      <c r="AL98" s="23">
        <f>30-21</f>
        <v>9</v>
      </c>
      <c r="AM98" s="10">
        <v>49.44734678904069</v>
      </c>
      <c r="AN98" s="23">
        <f>21-32</f>
        <v>-11</v>
      </c>
      <c r="AO98" s="10">
        <v>47.7592677752889</v>
      </c>
      <c r="AP98" s="23">
        <f>22-24</f>
        <v>-2</v>
      </c>
      <c r="AQ98" s="10">
        <v>54.09652076318743</v>
      </c>
      <c r="AR98" s="23">
        <f>43-7</f>
        <v>36</v>
      </c>
      <c r="AS98" s="10">
        <v>49.69351414286693</v>
      </c>
      <c r="AT98" s="25">
        <v>37.19125958671434</v>
      </c>
      <c r="AU98" s="25">
        <v>55.03997863850113</v>
      </c>
      <c r="AV98" s="25">
        <v>5.739419382593345</v>
      </c>
      <c r="AW98" s="24">
        <f>AT98-AV98</f>
        <v>31.45184020412099</v>
      </c>
      <c r="AX98" s="25">
        <v>2.0293423921911855</v>
      </c>
      <c r="AY98" s="25">
        <v>45.16460905349795</v>
      </c>
      <c r="AZ98" s="25">
        <v>49.52300785634119</v>
      </c>
      <c r="BA98" s="25">
        <v>4.8447437336326225</v>
      </c>
      <c r="BB98" s="24">
        <f>AY98-BA98</f>
        <v>40.31986531986533</v>
      </c>
      <c r="BC98" s="25">
        <v>0.46763935652824545</v>
      </c>
      <c r="BD98" s="25">
        <v>66.4355181151976</v>
      </c>
      <c r="BE98" s="25">
        <v>31.239298678172727</v>
      </c>
      <c r="BF98" s="25">
        <v>2.2909389767824124</v>
      </c>
      <c r="BG98" s="24">
        <f>BD98-BF98</f>
        <v>64.14457913841518</v>
      </c>
      <c r="BH98" s="25">
        <v>0.034244229847270734</v>
      </c>
      <c r="BI98" s="8">
        <v>49.95278500533292</v>
      </c>
      <c r="BJ98" s="8">
        <v>44.795141271340164</v>
      </c>
      <c r="BK98" s="8">
        <v>4.241197290742464</v>
      </c>
      <c r="BL98" s="24">
        <f>BI98-BK98</f>
        <v>45.71158771459046</v>
      </c>
      <c r="BM98" s="8">
        <v>1.0108764325844606</v>
      </c>
      <c r="BN98" s="63"/>
      <c r="BO98" s="8"/>
      <c r="BP98" s="24"/>
      <c r="BQ98" s="8"/>
      <c r="BR98" s="24"/>
      <c r="BS98" s="8"/>
      <c r="BT98" s="24"/>
      <c r="BU98" s="8"/>
      <c r="BV98" s="24"/>
      <c r="BW98" s="8"/>
      <c r="BX98" s="24"/>
      <c r="BY98" s="8"/>
      <c r="BZ98" s="24"/>
      <c r="CA98" s="8"/>
      <c r="CB98" s="20"/>
      <c r="CC98" s="24"/>
      <c r="CD98" s="8"/>
      <c r="CE98" s="20"/>
      <c r="CF98" s="24"/>
      <c r="CG98" s="8"/>
      <c r="CH98" s="20"/>
      <c r="CI98" s="24"/>
      <c r="CJ98" s="8"/>
      <c r="CK98" s="21"/>
      <c r="CL98" s="24"/>
      <c r="CM98" s="8"/>
      <c r="CN98" s="21"/>
      <c r="CO98" s="24"/>
      <c r="CP98" s="10"/>
      <c r="CQ98" s="24"/>
      <c r="CR98" s="10"/>
      <c r="CS98" s="24"/>
      <c r="CT98" s="10"/>
      <c r="CU98" s="24"/>
      <c r="CV98" s="10"/>
      <c r="CW98" s="8"/>
      <c r="CX98" s="8"/>
      <c r="CY98" s="24"/>
      <c r="CZ98" s="10"/>
      <c r="DA98" s="24"/>
      <c r="DB98" s="10"/>
      <c r="DC98" s="24"/>
      <c r="DD98" s="12"/>
      <c r="DE98" s="24"/>
      <c r="DF98" s="12"/>
      <c r="DG98" s="24"/>
      <c r="DH98" s="8"/>
      <c r="DI98" s="24"/>
      <c r="DJ98" s="12"/>
      <c r="DK98" s="24"/>
      <c r="DL98" s="12"/>
      <c r="DM98" s="24"/>
      <c r="DN98" s="12"/>
      <c r="DO98" s="24"/>
      <c r="DP98" s="12"/>
      <c r="DQ98" s="24"/>
      <c r="DR98" s="8"/>
      <c r="DS98" s="12"/>
      <c r="DT98" s="12"/>
      <c r="DU98" s="12"/>
      <c r="DV98" s="11"/>
      <c r="DW98" s="12"/>
      <c r="DX98" s="12"/>
      <c r="DY98" s="12"/>
      <c r="DZ98" s="12"/>
      <c r="EA98" s="11"/>
      <c r="EC98" s="12"/>
      <c r="ED98" s="12"/>
      <c r="EE98" s="12"/>
      <c r="EF98" s="16">
        <f>EC98-EE98</f>
        <v>0</v>
      </c>
      <c r="EG98" s="12"/>
      <c r="EH98" s="22"/>
      <c r="EI98" s="22"/>
      <c r="EJ98" s="22"/>
      <c r="EK98" s="16">
        <f>EH98-EJ98</f>
        <v>0</v>
      </c>
      <c r="EL98" s="23"/>
      <c r="EM98" s="12"/>
      <c r="EN98" s="12"/>
      <c r="EO98" s="12"/>
      <c r="EP98" s="24">
        <f>EM98-EO98</f>
        <v>0</v>
      </c>
    </row>
    <row r="99" spans="1:146" ht="12">
      <c r="A99" s="1" t="s">
        <v>33</v>
      </c>
      <c r="B99" s="24"/>
      <c r="C99" s="8"/>
      <c r="D99" s="23"/>
      <c r="E99" s="8"/>
      <c r="F99" s="23"/>
      <c r="G99" s="8"/>
      <c r="H99" s="23"/>
      <c r="I99" s="8"/>
      <c r="J99" s="23"/>
      <c r="K99" s="8"/>
      <c r="L99" s="20"/>
      <c r="M99" s="23"/>
      <c r="N99" s="8"/>
      <c r="O99" s="20"/>
      <c r="P99" s="23"/>
      <c r="Q99" s="8"/>
      <c r="R99" s="20"/>
      <c r="S99" s="23"/>
      <c r="T99" s="8"/>
      <c r="U99" s="20"/>
      <c r="V99" s="23"/>
      <c r="W99" s="10"/>
      <c r="X99" s="23"/>
      <c r="Y99" s="10"/>
      <c r="Z99" s="23"/>
      <c r="AA99" s="10"/>
      <c r="AB99" s="23"/>
      <c r="AC99" s="10"/>
      <c r="AD99" s="23"/>
      <c r="AE99" s="10"/>
      <c r="AF99" s="23"/>
      <c r="AG99" s="10"/>
      <c r="AH99" s="23"/>
      <c r="AI99" s="10"/>
      <c r="AJ99" s="23"/>
      <c r="AK99" s="10"/>
      <c r="AL99" s="23"/>
      <c r="AM99" s="10"/>
      <c r="AN99" s="23"/>
      <c r="AO99" s="10"/>
      <c r="AP99" s="23"/>
      <c r="AQ99" s="10"/>
      <c r="AR99" s="23"/>
      <c r="AS99" s="10"/>
      <c r="AT99" s="25"/>
      <c r="AU99" s="25"/>
      <c r="AV99" s="25"/>
      <c r="AW99" s="24">
        <f>AT99-AV99</f>
        <v>0</v>
      </c>
      <c r="AX99" s="25"/>
      <c r="AY99" s="25"/>
      <c r="AZ99" s="25"/>
      <c r="BA99" s="25"/>
      <c r="BB99" s="24">
        <f>AY99-BA99</f>
        <v>0</v>
      </c>
      <c r="BC99" s="25"/>
      <c r="BD99" s="25"/>
      <c r="BE99" s="25"/>
      <c r="BF99" s="25"/>
      <c r="BG99" s="24">
        <f>BD99-BF99</f>
        <v>0</v>
      </c>
      <c r="BH99" s="25"/>
      <c r="BI99" s="8"/>
      <c r="BJ99" s="8"/>
      <c r="BK99" s="8"/>
      <c r="BL99" s="24">
        <f>BI99-BK99</f>
        <v>0</v>
      </c>
      <c r="BM99" s="8"/>
      <c r="BN99" s="63"/>
      <c r="BO99" s="8"/>
      <c r="BP99" s="24"/>
      <c r="BQ99" s="8"/>
      <c r="BR99" s="24"/>
      <c r="BS99" s="8"/>
      <c r="BT99" s="24"/>
      <c r="BU99" s="8"/>
      <c r="BV99" s="24"/>
      <c r="BW99" s="8"/>
      <c r="BX99" s="24"/>
      <c r="BY99" s="8"/>
      <c r="BZ99" s="24"/>
      <c r="CA99" s="8"/>
      <c r="CB99" s="20"/>
      <c r="CC99" s="24"/>
      <c r="CD99" s="8"/>
      <c r="CE99" s="20"/>
      <c r="CF99" s="24"/>
      <c r="CG99" s="8"/>
      <c r="CH99" s="20"/>
      <c r="CI99" s="24"/>
      <c r="CJ99" s="8"/>
      <c r="CK99" s="21"/>
      <c r="CL99" s="24"/>
      <c r="CM99" s="8"/>
      <c r="CN99" s="21"/>
      <c r="CO99" s="24"/>
      <c r="CP99" s="10"/>
      <c r="CQ99" s="24"/>
      <c r="CR99" s="10"/>
      <c r="CS99" s="24"/>
      <c r="CT99" s="10"/>
      <c r="CU99" s="24"/>
      <c r="CV99" s="10"/>
      <c r="CW99" s="8"/>
      <c r="CX99" s="8"/>
      <c r="CY99" s="24"/>
      <c r="CZ99" s="10"/>
      <c r="DA99" s="24"/>
      <c r="DB99" s="10"/>
      <c r="DC99" s="24"/>
      <c r="DD99" s="12"/>
      <c r="DE99" s="24"/>
      <c r="DF99" s="12"/>
      <c r="DG99" s="24"/>
      <c r="DH99" s="8"/>
      <c r="DI99" s="24"/>
      <c r="DJ99" s="12"/>
      <c r="DK99" s="24"/>
      <c r="DL99" s="12"/>
      <c r="DM99" s="24"/>
      <c r="DN99" s="12"/>
      <c r="DO99" s="24"/>
      <c r="DP99" s="12"/>
      <c r="DQ99" s="24"/>
      <c r="DR99" s="8"/>
      <c r="DS99" s="12"/>
      <c r="DT99" s="12"/>
      <c r="DU99" s="12"/>
      <c r="DV99" s="11"/>
      <c r="DW99" s="12"/>
      <c r="DX99" s="12"/>
      <c r="DY99" s="12"/>
      <c r="DZ99" s="12"/>
      <c r="EA99" s="11"/>
      <c r="EC99" s="12"/>
      <c r="ED99" s="12"/>
      <c r="EE99" s="12"/>
      <c r="EF99" s="16">
        <f>EC99-EE99</f>
        <v>0</v>
      </c>
      <c r="EG99" s="12"/>
      <c r="EH99" s="22"/>
      <c r="EI99" s="22"/>
      <c r="EJ99" s="22"/>
      <c r="EK99" s="16">
        <f>EH99-EJ99</f>
        <v>0</v>
      </c>
      <c r="EL99" s="23"/>
      <c r="EM99" s="12"/>
      <c r="EN99" s="12"/>
      <c r="EO99" s="12"/>
      <c r="EP99" s="24">
        <f>EM99-EO99</f>
        <v>0</v>
      </c>
    </row>
    <row r="100" spans="1:148" ht="12">
      <c r="A100" s="1" t="s">
        <v>300</v>
      </c>
      <c r="B100" s="24">
        <f aca="true" t="shared" si="76" ref="B100:AV100">AVERAGE(B96:B99)</f>
        <v>-18.666666666666668</v>
      </c>
      <c r="C100" s="13">
        <f t="shared" si="76"/>
        <v>36.969001148105626</v>
      </c>
      <c r="D100" s="24">
        <f t="shared" si="76"/>
        <v>-19</v>
      </c>
      <c r="E100" s="13">
        <f t="shared" si="76"/>
        <v>39.37092363758635</v>
      </c>
      <c r="F100" s="24">
        <f t="shared" si="76"/>
        <v>-16</v>
      </c>
      <c r="G100" s="13">
        <f t="shared" si="76"/>
        <v>43.28781643596458</v>
      </c>
      <c r="H100" s="24">
        <f t="shared" si="76"/>
        <v>-19</v>
      </c>
      <c r="I100" s="13">
        <f t="shared" si="76"/>
        <v>31.88309019930142</v>
      </c>
      <c r="J100" s="24">
        <f t="shared" si="76"/>
        <v>-1.6666666666666667</v>
      </c>
      <c r="K100" s="13">
        <f t="shared" si="76"/>
        <v>29.391504018369687</v>
      </c>
      <c r="L100" s="21">
        <f t="shared" si="76"/>
        <v>-0.286</v>
      </c>
      <c r="M100" s="24">
        <f t="shared" si="76"/>
        <v>-12.333333333333334</v>
      </c>
      <c r="N100" s="13">
        <f t="shared" si="76"/>
        <v>33.187956466056484</v>
      </c>
      <c r="O100" s="21">
        <f t="shared" si="76"/>
        <v>-1.1183333333333334</v>
      </c>
      <c r="P100" s="24">
        <f t="shared" si="76"/>
        <v>-7.666666666666667</v>
      </c>
      <c r="Q100" s="13">
        <f t="shared" si="76"/>
        <v>35.09633370744482</v>
      </c>
      <c r="R100" s="21">
        <f t="shared" si="76"/>
        <v>-1.1453333333333333</v>
      </c>
      <c r="S100" s="24">
        <f t="shared" si="76"/>
        <v>13.666666666666666</v>
      </c>
      <c r="T100" s="13">
        <f t="shared" si="76"/>
        <v>22.920804511106542</v>
      </c>
      <c r="U100" s="21">
        <f t="shared" si="76"/>
        <v>0.9886666666666666</v>
      </c>
      <c r="V100" s="24">
        <f t="shared" si="76"/>
        <v>8.666666666666666</v>
      </c>
      <c r="W100" s="13">
        <f t="shared" si="76"/>
        <v>85.54224779606746</v>
      </c>
      <c r="X100" s="24">
        <f t="shared" si="76"/>
        <v>14</v>
      </c>
      <c r="Y100" s="13">
        <f t="shared" si="76"/>
        <v>78.79030623093165</v>
      </c>
      <c r="Z100" s="24">
        <f t="shared" si="76"/>
        <v>10</v>
      </c>
      <c r="AA100" s="13">
        <f t="shared" si="76"/>
        <v>86.33401920438958</v>
      </c>
      <c r="AB100" s="24">
        <f t="shared" si="76"/>
        <v>3.3333333333333335</v>
      </c>
      <c r="AC100" s="13">
        <f t="shared" si="76"/>
        <v>93.04556765518343</v>
      </c>
      <c r="AD100" s="24">
        <f t="shared" si="76"/>
        <v>13</v>
      </c>
      <c r="AE100" s="13">
        <f t="shared" si="76"/>
        <v>48.76255952825766</v>
      </c>
      <c r="AF100" s="24">
        <f t="shared" si="76"/>
        <v>-4</v>
      </c>
      <c r="AG100" s="13">
        <f t="shared" si="76"/>
        <v>50.55950314735973</v>
      </c>
      <c r="AH100" s="24">
        <f t="shared" si="76"/>
        <v>2</v>
      </c>
      <c r="AI100" s="13">
        <f t="shared" si="76"/>
        <v>58.26474622770919</v>
      </c>
      <c r="AJ100" s="24">
        <f t="shared" si="76"/>
        <v>35.666666666666664</v>
      </c>
      <c r="AK100" s="13">
        <f t="shared" si="76"/>
        <v>43.20936922128622</v>
      </c>
      <c r="AL100" s="24">
        <f t="shared" si="76"/>
        <v>-1.6666666666666667</v>
      </c>
      <c r="AM100" s="13">
        <f t="shared" si="76"/>
        <v>57.7121221385109</v>
      </c>
      <c r="AN100" s="24">
        <f t="shared" si="76"/>
        <v>-16.333333333333332</v>
      </c>
      <c r="AO100" s="13">
        <f t="shared" si="76"/>
        <v>53.241558004875564</v>
      </c>
      <c r="AP100" s="24">
        <f t="shared" si="76"/>
        <v>-8.666666666666666</v>
      </c>
      <c r="AQ100" s="13">
        <f t="shared" si="76"/>
        <v>60.78843995510662</v>
      </c>
      <c r="AR100" s="24">
        <f t="shared" si="76"/>
        <v>18.333333333333332</v>
      </c>
      <c r="AS100" s="13">
        <f t="shared" si="76"/>
        <v>61.74577083761386</v>
      </c>
      <c r="AT100" s="13">
        <f t="shared" si="76"/>
        <v>36.56623795325195</v>
      </c>
      <c r="AU100" s="13">
        <f t="shared" si="76"/>
        <v>54.80658448423353</v>
      </c>
      <c r="AV100" s="13">
        <f t="shared" si="76"/>
        <v>6.378780911127265</v>
      </c>
      <c r="AW100" s="24">
        <f>AT100-AV100</f>
        <v>30.187457042124684</v>
      </c>
      <c r="AX100" s="13">
        <f>AVERAGE(AX96:AX99)</f>
        <v>2.2483966513872615</v>
      </c>
      <c r="AY100" s="13">
        <f>AVERAGE(AY96:AY99)</f>
        <v>43.320551190921556</v>
      </c>
      <c r="AZ100" s="13">
        <f>AVERAGE(AZ96:AZ99)</f>
        <v>48.671904227459784</v>
      </c>
      <c r="BA100" s="13">
        <f>AVERAGE(BA96:BA99)</f>
        <v>7.0629130814316</v>
      </c>
      <c r="BB100" s="24">
        <f>AY100-BA100</f>
        <v>36.25763810948995</v>
      </c>
      <c r="BC100" s="13">
        <f>AVERAGE(BC96:BC99)</f>
        <v>0.9446315001870557</v>
      </c>
      <c r="BD100" s="13">
        <f>AVERAGE(BD96:BD99)</f>
        <v>71.38552153962057</v>
      </c>
      <c r="BE100" s="13">
        <f>AVERAGE(BE96:BE99)</f>
        <v>26.67910873684451</v>
      </c>
      <c r="BF100" s="13">
        <f>AVERAGE(BF96:BF99)</f>
        <v>1.9056913910006166</v>
      </c>
      <c r="BG100" s="24">
        <f>BD100-BF100</f>
        <v>69.47983014861995</v>
      </c>
      <c r="BH100" s="13">
        <f>AVERAGE(BH96:BH99)</f>
        <v>0.0296783325343013</v>
      </c>
      <c r="BI100" s="13">
        <f>AVERAGE(BI96:BI99)</f>
        <v>51.362667771746636</v>
      </c>
      <c r="BJ100" s="13">
        <f>AVERAGE(BJ96:BJ99)</f>
        <v>42.75527234107116</v>
      </c>
      <c r="BK100" s="13">
        <f>AVERAGE(BK96:BK99)</f>
        <v>4.703383401608254</v>
      </c>
      <c r="BL100" s="24">
        <f>BI100-BK100</f>
        <v>46.65928437013838</v>
      </c>
      <c r="BM100" s="13">
        <f>AVERAGE(BM96:BM99)</f>
        <v>1.1786764855739509</v>
      </c>
      <c r="BN100" s="13" t="e">
        <f>AVERAGE(BN96:BN99)</f>
        <v>#DIV/0!</v>
      </c>
      <c r="BO100" s="13"/>
      <c r="BP100" s="24" t="e">
        <f aca="true" t="shared" si="77" ref="BP100:DR100">AVERAGE(BP96:BP99)</f>
        <v>#DIV/0!</v>
      </c>
      <c r="BQ100" s="13" t="e">
        <f t="shared" si="77"/>
        <v>#DIV/0!</v>
      </c>
      <c r="BR100" s="24" t="e">
        <f t="shared" si="77"/>
        <v>#DIV/0!</v>
      </c>
      <c r="BS100" s="13" t="e">
        <f t="shared" si="77"/>
        <v>#DIV/0!</v>
      </c>
      <c r="BT100" s="24" t="e">
        <f t="shared" si="77"/>
        <v>#DIV/0!</v>
      </c>
      <c r="BU100" s="13" t="e">
        <f t="shared" si="77"/>
        <v>#DIV/0!</v>
      </c>
      <c r="BV100" s="24" t="e">
        <f t="shared" si="77"/>
        <v>#DIV/0!</v>
      </c>
      <c r="BW100" s="13" t="e">
        <f t="shared" si="77"/>
        <v>#DIV/0!</v>
      </c>
      <c r="BX100" s="24" t="e">
        <f t="shared" si="77"/>
        <v>#DIV/0!</v>
      </c>
      <c r="BY100" s="13" t="e">
        <f t="shared" si="77"/>
        <v>#DIV/0!</v>
      </c>
      <c r="BZ100" s="24" t="e">
        <f t="shared" si="77"/>
        <v>#DIV/0!</v>
      </c>
      <c r="CA100" s="13" t="e">
        <f t="shared" si="77"/>
        <v>#DIV/0!</v>
      </c>
      <c r="CB100" s="21" t="e">
        <f t="shared" si="77"/>
        <v>#DIV/0!</v>
      </c>
      <c r="CC100" s="24" t="e">
        <f t="shared" si="77"/>
        <v>#DIV/0!</v>
      </c>
      <c r="CD100" s="13" t="e">
        <f t="shared" si="77"/>
        <v>#DIV/0!</v>
      </c>
      <c r="CE100" s="21" t="e">
        <f t="shared" si="77"/>
        <v>#DIV/0!</v>
      </c>
      <c r="CF100" s="24" t="e">
        <f t="shared" si="77"/>
        <v>#DIV/0!</v>
      </c>
      <c r="CG100" s="13" t="e">
        <f t="shared" si="77"/>
        <v>#DIV/0!</v>
      </c>
      <c r="CH100" s="21" t="e">
        <f t="shared" si="77"/>
        <v>#DIV/0!</v>
      </c>
      <c r="CI100" s="24" t="e">
        <f t="shared" si="77"/>
        <v>#DIV/0!</v>
      </c>
      <c r="CJ100" s="13" t="e">
        <f t="shared" si="77"/>
        <v>#DIV/0!</v>
      </c>
      <c r="CK100" s="21" t="e">
        <f t="shared" si="77"/>
        <v>#DIV/0!</v>
      </c>
      <c r="CL100" s="21" t="e">
        <f t="shared" si="77"/>
        <v>#DIV/0!</v>
      </c>
      <c r="CM100" s="21" t="e">
        <f t="shared" si="77"/>
        <v>#DIV/0!</v>
      </c>
      <c r="CN100" s="21" t="e">
        <f t="shared" si="77"/>
        <v>#DIV/0!</v>
      </c>
      <c r="CO100" s="24" t="e">
        <f t="shared" si="77"/>
        <v>#DIV/0!</v>
      </c>
      <c r="CP100" s="13" t="e">
        <f t="shared" si="77"/>
        <v>#DIV/0!</v>
      </c>
      <c r="CQ100" s="24" t="e">
        <f t="shared" si="77"/>
        <v>#DIV/0!</v>
      </c>
      <c r="CR100" s="13" t="e">
        <f t="shared" si="77"/>
        <v>#DIV/0!</v>
      </c>
      <c r="CS100" s="24" t="e">
        <f t="shared" si="77"/>
        <v>#DIV/0!</v>
      </c>
      <c r="CT100" s="13" t="e">
        <f t="shared" si="77"/>
        <v>#DIV/0!</v>
      </c>
      <c r="CU100" s="24" t="e">
        <f t="shared" si="77"/>
        <v>#DIV/0!</v>
      </c>
      <c r="CV100" s="13" t="e">
        <f t="shared" si="77"/>
        <v>#DIV/0!</v>
      </c>
      <c r="CW100" s="13" t="e">
        <f t="shared" si="77"/>
        <v>#DIV/0!</v>
      </c>
      <c r="CX100" s="13" t="e">
        <f t="shared" si="77"/>
        <v>#DIV/0!</v>
      </c>
      <c r="CY100" s="24" t="e">
        <f t="shared" si="77"/>
        <v>#DIV/0!</v>
      </c>
      <c r="CZ100" s="13" t="e">
        <f t="shared" si="77"/>
        <v>#DIV/0!</v>
      </c>
      <c r="DA100" s="24" t="e">
        <f t="shared" si="77"/>
        <v>#DIV/0!</v>
      </c>
      <c r="DB100" s="13" t="e">
        <f t="shared" si="77"/>
        <v>#DIV/0!</v>
      </c>
      <c r="DC100" s="24" t="e">
        <f t="shared" si="77"/>
        <v>#DIV/0!</v>
      </c>
      <c r="DD100" s="13" t="e">
        <f t="shared" si="77"/>
        <v>#DIV/0!</v>
      </c>
      <c r="DE100" s="24" t="e">
        <f t="shared" si="77"/>
        <v>#DIV/0!</v>
      </c>
      <c r="DF100" s="13" t="e">
        <f t="shared" si="77"/>
        <v>#DIV/0!</v>
      </c>
      <c r="DG100" s="24" t="e">
        <f t="shared" si="77"/>
        <v>#DIV/0!</v>
      </c>
      <c r="DH100" s="13" t="e">
        <f t="shared" si="77"/>
        <v>#DIV/0!</v>
      </c>
      <c r="DI100" s="24" t="e">
        <f t="shared" si="77"/>
        <v>#DIV/0!</v>
      </c>
      <c r="DJ100" s="13" t="e">
        <f t="shared" si="77"/>
        <v>#DIV/0!</v>
      </c>
      <c r="DK100" s="24" t="e">
        <f t="shared" si="77"/>
        <v>#DIV/0!</v>
      </c>
      <c r="DL100" s="13" t="e">
        <f t="shared" si="77"/>
        <v>#DIV/0!</v>
      </c>
      <c r="DM100" s="24" t="e">
        <f t="shared" si="77"/>
        <v>#DIV/0!</v>
      </c>
      <c r="DN100" s="13" t="e">
        <f t="shared" si="77"/>
        <v>#DIV/0!</v>
      </c>
      <c r="DO100" s="24" t="e">
        <f t="shared" si="77"/>
        <v>#DIV/0!</v>
      </c>
      <c r="DP100" s="13" t="e">
        <f t="shared" si="77"/>
        <v>#DIV/0!</v>
      </c>
      <c r="DQ100" s="13" t="e">
        <f t="shared" si="77"/>
        <v>#DIV/0!</v>
      </c>
      <c r="DR100" s="13" t="e">
        <f t="shared" si="77"/>
        <v>#DIV/0!</v>
      </c>
      <c r="DS100" s="13"/>
      <c r="DT100" s="13"/>
      <c r="DU100" s="13"/>
      <c r="DV100" s="13"/>
      <c r="DW100" s="13"/>
      <c r="DX100" s="13"/>
      <c r="DY100" s="13"/>
      <c r="DZ100" s="13"/>
      <c r="EA100" s="13"/>
      <c r="EB100" s="13"/>
      <c r="EC100" s="13" t="e">
        <f aca="true" t="shared" si="78" ref="EC100:EO100">AVERAGE(EC96:EC99)</f>
        <v>#DIV/0!</v>
      </c>
      <c r="ED100" s="13" t="e">
        <f t="shared" si="78"/>
        <v>#DIV/0!</v>
      </c>
      <c r="EE100" s="13" t="e">
        <f t="shared" si="78"/>
        <v>#DIV/0!</v>
      </c>
      <c r="EF100" s="13">
        <f t="shared" si="78"/>
        <v>0</v>
      </c>
      <c r="EG100" s="13" t="e">
        <f t="shared" si="78"/>
        <v>#DIV/0!</v>
      </c>
      <c r="EH100" s="13" t="e">
        <f t="shared" si="78"/>
        <v>#DIV/0!</v>
      </c>
      <c r="EI100" s="13" t="e">
        <f t="shared" si="78"/>
        <v>#DIV/0!</v>
      </c>
      <c r="EJ100" s="13" t="e">
        <f t="shared" si="78"/>
        <v>#DIV/0!</v>
      </c>
      <c r="EK100" s="13">
        <f t="shared" si="78"/>
        <v>0</v>
      </c>
      <c r="EL100" s="13" t="e">
        <f t="shared" si="78"/>
        <v>#DIV/0!</v>
      </c>
      <c r="EM100" s="13" t="e">
        <f t="shared" si="78"/>
        <v>#DIV/0!</v>
      </c>
      <c r="EN100" s="13" t="e">
        <f t="shared" si="78"/>
        <v>#DIV/0!</v>
      </c>
      <c r="EO100" s="13" t="e">
        <f t="shared" si="78"/>
        <v>#DIV/0!</v>
      </c>
      <c r="EP100" s="24" t="e">
        <f>EM100-EO100</f>
        <v>#DIV/0!</v>
      </c>
      <c r="EQ100" s="13" t="e">
        <f>AVERAGE(EQ96:EQ99)</f>
        <v>#DIV/0!</v>
      </c>
      <c r="ER100" s="13" t="e">
        <f>AVERAGE(ER96:ER99)</f>
        <v>#DIV/0!</v>
      </c>
    </row>
    <row r="101" spans="1:148" ht="12.75" thickBo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18"/>
      <c r="CC101" s="7"/>
      <c r="CD101" s="7"/>
      <c r="CE101" s="18"/>
      <c r="CF101" s="7"/>
      <c r="CG101" s="7"/>
      <c r="CH101" s="18"/>
      <c r="CI101" s="7"/>
      <c r="CJ101" s="7"/>
      <c r="CK101" s="18"/>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row>
    <row r="102" spans="1:148" ht="12">
      <c r="A102" s="118" t="s">
        <v>301</v>
      </c>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24"/>
      <c r="CC102" s="119"/>
      <c r="CD102" s="119"/>
      <c r="CE102" s="124"/>
      <c r="CF102" s="119"/>
      <c r="CG102" s="119"/>
      <c r="CH102" s="124"/>
      <c r="CI102" s="119"/>
      <c r="CJ102" s="119"/>
      <c r="CK102" s="124"/>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row>
    <row r="103" spans="1:89" ht="12">
      <c r="A103" s="1" t="s">
        <v>57</v>
      </c>
      <c r="CB103" s="14"/>
      <c r="CE103" s="14"/>
      <c r="CH103" s="14"/>
      <c r="CK103" s="14"/>
    </row>
    <row r="104" spans="1:89" ht="12">
      <c r="A104" s="1" t="s">
        <v>50</v>
      </c>
      <c r="CB104" s="14"/>
      <c r="CE104" s="14"/>
      <c r="CH104" s="14"/>
      <c r="CK104" s="14"/>
    </row>
    <row r="105" spans="1:89" ht="12">
      <c r="A105" s="1" t="s">
        <v>51</v>
      </c>
      <c r="CB105" s="14"/>
      <c r="CE105" s="14"/>
      <c r="CH105" s="14"/>
      <c r="CK105" s="14"/>
    </row>
    <row r="106" spans="1:89" ht="12">
      <c r="A106" s="1" t="s">
        <v>52</v>
      </c>
      <c r="CB106" s="14"/>
      <c r="CE106" s="14"/>
      <c r="CH106" s="14"/>
      <c r="CK106" s="14"/>
    </row>
    <row r="107" spans="1:89" ht="12">
      <c r="A107" s="106" t="s">
        <v>192</v>
      </c>
      <c r="CB107" s="14"/>
      <c r="CE107" s="14"/>
      <c r="CH107" s="14"/>
      <c r="CK107" s="14"/>
    </row>
    <row r="108" spans="1:89" ht="12">
      <c r="A108" s="2" t="s">
        <v>280</v>
      </c>
      <c r="CB108" s="14"/>
      <c r="CE108" s="14"/>
      <c r="CH108" s="14"/>
      <c r="CK108" s="14"/>
    </row>
    <row r="109" spans="1:89" ht="12">
      <c r="A109" s="2" t="s">
        <v>281</v>
      </c>
      <c r="CB109" s="14"/>
      <c r="CE109" s="14"/>
      <c r="CH109" s="14"/>
      <c r="CK109" s="14"/>
    </row>
    <row r="110" spans="1:89" ht="12">
      <c r="A110" s="121" t="s">
        <v>292</v>
      </c>
      <c r="CB110" s="14"/>
      <c r="CE110" s="14"/>
      <c r="CH110" s="14"/>
      <c r="CK110" s="14"/>
    </row>
    <row r="111" spans="80:89" ht="12">
      <c r="CB111" s="14"/>
      <c r="CE111" s="14"/>
      <c r="CH111" s="14"/>
      <c r="CK111" s="14"/>
    </row>
    <row r="112" spans="1:89" ht="12">
      <c r="A112" s="1" t="s">
        <v>55</v>
      </c>
      <c r="CB112" s="14"/>
      <c r="CE112" s="14"/>
      <c r="CH112" s="14"/>
      <c r="CK112" s="14"/>
    </row>
    <row r="113" spans="80:89" ht="12">
      <c r="CB113" s="14"/>
      <c r="CE113" s="14"/>
      <c r="CH113" s="14"/>
      <c r="CK113" s="14"/>
    </row>
    <row r="114" spans="80:89" ht="12">
      <c r="CB114" s="14"/>
      <c r="CE114" s="14"/>
      <c r="CH114" s="14"/>
      <c r="CK114" s="14"/>
    </row>
    <row r="115" spans="80:89" ht="12">
      <c r="CB115" s="14"/>
      <c r="CE115" s="14"/>
      <c r="CH115" s="14"/>
      <c r="CK115" s="14"/>
    </row>
    <row r="116" spans="80:89" ht="12">
      <c r="CB116" s="14"/>
      <c r="CE116" s="14"/>
      <c r="CH116" s="14"/>
      <c r="CK116" s="14"/>
    </row>
    <row r="117" spans="80:89" ht="12">
      <c r="CB117" s="14"/>
      <c r="CE117" s="14"/>
      <c r="CH117" s="14"/>
      <c r="CK117" s="14"/>
    </row>
    <row r="118" spans="80:89" ht="12">
      <c r="CB118" s="14"/>
      <c r="CE118" s="14"/>
      <c r="CH118" s="14"/>
      <c r="CK118" s="14"/>
    </row>
    <row r="119" spans="80:92" ht="12">
      <c r="CB119" s="14"/>
      <c r="CE119" s="14"/>
      <c r="CH119" s="14"/>
      <c r="CK119" s="14"/>
      <c r="CL119" s="14"/>
      <c r="CM119" s="14"/>
      <c r="CN119" s="14"/>
    </row>
    <row r="120" spans="80:92" ht="12">
      <c r="CB120" s="14"/>
      <c r="CE120" s="14"/>
      <c r="CH120" s="14"/>
      <c r="CK120" s="14"/>
      <c r="CL120" s="14"/>
      <c r="CM120" s="14"/>
      <c r="CN120" s="14"/>
    </row>
    <row r="121" spans="80:92" ht="12">
      <c r="CB121" s="14"/>
      <c r="CE121" s="14"/>
      <c r="CH121" s="14"/>
      <c r="CK121" s="14"/>
      <c r="CL121" s="14"/>
      <c r="CM121" s="14"/>
      <c r="CN121" s="14"/>
    </row>
    <row r="141" spans="46:131" ht="12">
      <c r="AT141" s="9"/>
      <c r="AU141" s="9"/>
      <c r="AV141" s="8"/>
      <c r="AW141" s="8"/>
      <c r="AX141" s="8"/>
      <c r="AY141" s="13"/>
      <c r="AZ141" s="8"/>
      <c r="BA141" s="8"/>
      <c r="BB141" s="8"/>
      <c r="BC141" s="13"/>
      <c r="BD141" s="9"/>
      <c r="BE141" s="8"/>
      <c r="BF141" s="8"/>
      <c r="BG141" s="8"/>
      <c r="BH141" s="13"/>
      <c r="BI141" s="13"/>
      <c r="BJ141" s="13"/>
      <c r="BK141" s="13"/>
      <c r="BL141" s="13"/>
      <c r="BM141" s="13"/>
      <c r="BN141" s="13"/>
      <c r="BO141" s="13"/>
      <c r="BP141" s="8"/>
      <c r="BQ141" s="13"/>
      <c r="BR141" s="9"/>
      <c r="BS141" s="9"/>
      <c r="BT141" s="9"/>
      <c r="BU141" s="8"/>
      <c r="BV141" s="8"/>
      <c r="BW141" s="8"/>
      <c r="BX141" s="8"/>
      <c r="BY141" s="8"/>
      <c r="BZ141" s="13"/>
      <c r="CA141" s="9"/>
      <c r="CB141" s="9"/>
      <c r="CC141" s="9"/>
      <c r="CD141" s="9"/>
      <c r="CE141" s="9"/>
      <c r="CF141" s="8"/>
      <c r="CG141" s="8"/>
      <c r="CH141" s="8"/>
      <c r="CI141" s="13"/>
      <c r="CJ141" s="8"/>
      <c r="CK141" s="8"/>
      <c r="CL141" s="8"/>
      <c r="CM141" s="8"/>
      <c r="CN141" s="8"/>
      <c r="CO141" s="8"/>
      <c r="CP141" s="13"/>
      <c r="CQ141" s="8"/>
      <c r="CR141" s="8"/>
      <c r="CS141" s="8"/>
      <c r="CT141" s="13"/>
      <c r="CU141" s="8"/>
      <c r="CV141" s="8"/>
      <c r="CW141" s="8"/>
      <c r="CX141" s="8"/>
      <c r="CY141" s="8"/>
      <c r="CZ141" s="13"/>
      <c r="DA141" s="8"/>
      <c r="DB141" s="8"/>
      <c r="DC141" s="8"/>
      <c r="DD141" s="8"/>
      <c r="DE141" s="13"/>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9"/>
    </row>
    <row r="142" spans="46:130" ht="12">
      <c r="AT142" s="9"/>
      <c r="AU142" s="9"/>
      <c r="AV142" s="8"/>
      <c r="AW142" s="8"/>
      <c r="AX142" s="8"/>
      <c r="AY142" s="13"/>
      <c r="AZ142" s="8"/>
      <c r="BA142" s="8"/>
      <c r="BB142" s="8"/>
      <c r="BC142" s="13"/>
      <c r="BD142" s="9"/>
      <c r="BE142" s="8"/>
      <c r="BF142" s="8"/>
      <c r="BG142" s="8"/>
      <c r="BH142" s="13"/>
      <c r="BI142" s="13"/>
      <c r="BJ142" s="13"/>
      <c r="BK142" s="13"/>
      <c r="BL142" s="13"/>
      <c r="BM142" s="13"/>
      <c r="BN142" s="13"/>
      <c r="BO142" s="13"/>
      <c r="BP142" s="8"/>
      <c r="BQ142" s="13"/>
      <c r="BR142" s="9"/>
      <c r="BS142" s="9"/>
      <c r="BT142" s="9"/>
      <c r="BU142" s="8"/>
      <c r="BV142" s="8"/>
      <c r="BW142" s="8"/>
      <c r="BX142" s="8"/>
      <c r="BY142" s="8"/>
      <c r="BZ142" s="13"/>
      <c r="CA142" s="9"/>
      <c r="CB142" s="9"/>
      <c r="CC142" s="9"/>
      <c r="CD142" s="9"/>
      <c r="CE142" s="9"/>
      <c r="CF142" s="8"/>
      <c r="CG142" s="8"/>
      <c r="CH142" s="8"/>
      <c r="CI142" s="13"/>
      <c r="CJ142" s="8"/>
      <c r="CK142" s="8"/>
      <c r="CL142" s="8"/>
      <c r="CM142" s="8"/>
      <c r="CN142" s="8"/>
      <c r="CO142" s="8"/>
      <c r="CP142" s="13"/>
      <c r="CQ142" s="8"/>
      <c r="CR142" s="8"/>
      <c r="CS142" s="8"/>
      <c r="CT142" s="13"/>
      <c r="CU142" s="8"/>
      <c r="CV142" s="8"/>
      <c r="CW142" s="8"/>
      <c r="CX142" s="8"/>
      <c r="CY142" s="8"/>
      <c r="CZ142" s="13"/>
      <c r="DA142" s="8"/>
      <c r="DB142" s="8"/>
      <c r="DC142" s="8"/>
      <c r="DD142" s="8"/>
      <c r="DE142" s="13"/>
      <c r="DF142" s="14"/>
      <c r="DG142" s="14"/>
      <c r="DH142" s="14"/>
      <c r="DI142" s="14"/>
      <c r="DJ142" s="14"/>
      <c r="DK142" s="14"/>
      <c r="DL142" s="14"/>
      <c r="DM142" s="14"/>
      <c r="DN142" s="14"/>
      <c r="DO142" s="14"/>
      <c r="DP142" s="14"/>
      <c r="DQ142" s="14"/>
      <c r="DR142" s="14"/>
      <c r="DS142" s="14"/>
      <c r="DT142" s="14"/>
      <c r="DU142" s="14"/>
      <c r="DV142" s="14"/>
      <c r="DW142" s="14"/>
      <c r="DX142" s="14"/>
      <c r="DY142" s="14"/>
      <c r="DZ142" s="14"/>
    </row>
    <row r="143" spans="46:130" ht="12">
      <c r="AT143" s="9"/>
      <c r="AU143" s="9"/>
      <c r="AV143" s="8"/>
      <c r="AW143" s="8"/>
      <c r="AX143" s="8"/>
      <c r="AY143" s="13"/>
      <c r="AZ143" s="8"/>
      <c r="BA143" s="8"/>
      <c r="BB143" s="8"/>
      <c r="BC143" s="13"/>
      <c r="BD143" s="9"/>
      <c r="BE143" s="8"/>
      <c r="BF143" s="8"/>
      <c r="BG143" s="8"/>
      <c r="BH143" s="13"/>
      <c r="BI143" s="13"/>
      <c r="BJ143" s="13"/>
      <c r="BK143" s="13"/>
      <c r="BL143" s="13"/>
      <c r="BM143" s="13"/>
      <c r="BN143" s="13"/>
      <c r="BO143" s="13"/>
      <c r="BP143" s="8"/>
      <c r="BQ143" s="13"/>
      <c r="BR143" s="9"/>
      <c r="BS143" s="9"/>
      <c r="BT143" s="9"/>
      <c r="BU143" s="8"/>
      <c r="BV143" s="8"/>
      <c r="BW143" s="8"/>
      <c r="BX143" s="8"/>
      <c r="BY143" s="8"/>
      <c r="BZ143" s="13"/>
      <c r="CA143" s="9"/>
      <c r="CB143" s="9"/>
      <c r="CC143" s="9"/>
      <c r="CD143" s="9"/>
      <c r="CE143" s="9"/>
      <c r="CF143" s="8"/>
      <c r="CG143" s="8"/>
      <c r="CH143" s="8"/>
      <c r="CI143" s="13"/>
      <c r="CJ143" s="8"/>
      <c r="CK143" s="8"/>
      <c r="CL143" s="8"/>
      <c r="CM143" s="8"/>
      <c r="CN143" s="8"/>
      <c r="CO143" s="8"/>
      <c r="CP143" s="13"/>
      <c r="CQ143" s="8"/>
      <c r="CR143" s="8"/>
      <c r="CS143" s="8"/>
      <c r="CT143" s="13"/>
      <c r="CU143" s="8"/>
      <c r="CV143" s="8"/>
      <c r="CW143" s="8"/>
      <c r="CX143" s="8"/>
      <c r="CY143" s="8"/>
      <c r="CZ143" s="13"/>
      <c r="DA143" s="8"/>
      <c r="DB143" s="8"/>
      <c r="DC143" s="8"/>
      <c r="DD143" s="8"/>
      <c r="DE143" s="13"/>
      <c r="DF143" s="14"/>
      <c r="DG143" s="14"/>
      <c r="DH143" s="14"/>
      <c r="DI143" s="14"/>
      <c r="DJ143" s="14"/>
      <c r="DK143" s="14"/>
      <c r="DL143" s="14"/>
      <c r="DM143" s="14"/>
      <c r="DN143" s="14"/>
      <c r="DO143" s="14"/>
      <c r="DP143" s="14"/>
      <c r="DQ143" s="14"/>
      <c r="DR143" s="14"/>
      <c r="DS143" s="14"/>
      <c r="DT143" s="14"/>
      <c r="DU143" s="14"/>
      <c r="DV143" s="14"/>
      <c r="DW143" s="14"/>
      <c r="DX143" s="14"/>
      <c r="DY143" s="14"/>
      <c r="DZ143" s="14"/>
    </row>
    <row r="144" spans="46:130" ht="12">
      <c r="AT144" s="9"/>
      <c r="AU144" s="9"/>
      <c r="AV144" s="8"/>
      <c r="AW144" s="8"/>
      <c r="AX144" s="8"/>
      <c r="AY144" s="13"/>
      <c r="AZ144" s="8"/>
      <c r="BA144" s="8"/>
      <c r="BB144" s="8"/>
      <c r="BC144" s="13"/>
      <c r="BD144" s="9"/>
      <c r="BE144" s="8"/>
      <c r="BF144" s="8"/>
      <c r="BG144" s="8"/>
      <c r="BH144" s="13"/>
      <c r="BI144" s="13"/>
      <c r="BJ144" s="13"/>
      <c r="BK144" s="13"/>
      <c r="BL144" s="13"/>
      <c r="BM144" s="13"/>
      <c r="BN144" s="13"/>
      <c r="BO144" s="13"/>
      <c r="BP144" s="8"/>
      <c r="BQ144" s="13"/>
      <c r="BR144" s="9"/>
      <c r="BS144" s="9"/>
      <c r="BT144" s="9"/>
      <c r="BU144" s="8"/>
      <c r="BV144" s="8"/>
      <c r="BW144" s="8"/>
      <c r="BX144" s="8"/>
      <c r="BY144" s="8"/>
      <c r="BZ144" s="13"/>
      <c r="CA144" s="9"/>
      <c r="CB144" s="9"/>
      <c r="CC144" s="9"/>
      <c r="CF144" s="8"/>
      <c r="CG144" s="8"/>
      <c r="CH144" s="8"/>
      <c r="CI144" s="13"/>
      <c r="CJ144" s="8"/>
      <c r="CK144" s="8"/>
      <c r="CL144" s="8"/>
      <c r="CM144" s="8"/>
      <c r="CN144" s="8"/>
      <c r="CO144" s="8"/>
      <c r="CP144" s="13"/>
      <c r="CQ144" s="8"/>
      <c r="CR144" s="8"/>
      <c r="CS144" s="8"/>
      <c r="CT144" s="13"/>
      <c r="CU144" s="8"/>
      <c r="CV144" s="8"/>
      <c r="CW144" s="8"/>
      <c r="CX144" s="8"/>
      <c r="CY144" s="8"/>
      <c r="CZ144" s="13"/>
      <c r="DA144" s="8"/>
      <c r="DB144" s="8"/>
      <c r="DC144" s="8"/>
      <c r="DD144" s="8"/>
      <c r="DE144" s="13"/>
      <c r="DF144" s="8"/>
      <c r="DG144" s="8"/>
      <c r="DH144" s="8"/>
      <c r="DI144" s="8"/>
      <c r="DJ144" s="8"/>
      <c r="DK144" s="8"/>
      <c r="DL144" s="8"/>
      <c r="DM144" s="8"/>
      <c r="DN144" s="8"/>
      <c r="DO144" s="8"/>
      <c r="DP144" s="8"/>
      <c r="DQ144" s="8"/>
      <c r="DR144" s="8"/>
      <c r="DS144" s="14"/>
      <c r="DT144" s="14"/>
      <c r="DU144" s="14"/>
      <c r="DV144" s="14"/>
      <c r="DW144" s="14"/>
      <c r="DX144" s="14"/>
      <c r="DY144" s="14"/>
      <c r="DZ144" s="14"/>
    </row>
    <row r="145" spans="46:130" ht="12">
      <c r="AT145" s="9"/>
      <c r="AU145" s="9"/>
      <c r="AV145" s="8"/>
      <c r="AW145" s="8"/>
      <c r="AX145" s="8"/>
      <c r="AY145" s="13"/>
      <c r="AZ145" s="8"/>
      <c r="BA145" s="8"/>
      <c r="BB145" s="8"/>
      <c r="BC145" s="13"/>
      <c r="BD145" s="9"/>
      <c r="BE145" s="8"/>
      <c r="BF145" s="8"/>
      <c r="BG145" s="8"/>
      <c r="BH145" s="13"/>
      <c r="BI145" s="13"/>
      <c r="BJ145" s="13"/>
      <c r="BK145" s="13"/>
      <c r="BL145" s="13"/>
      <c r="BM145" s="13"/>
      <c r="BN145" s="13"/>
      <c r="BO145" s="13"/>
      <c r="BP145" s="8"/>
      <c r="BQ145" s="13"/>
      <c r="BR145" s="9"/>
      <c r="BS145" s="9"/>
      <c r="BT145" s="9"/>
      <c r="BU145" s="8"/>
      <c r="BV145" s="8"/>
      <c r="BW145" s="8"/>
      <c r="BX145" s="8"/>
      <c r="BY145" s="8"/>
      <c r="BZ145" s="13"/>
      <c r="CA145" s="9"/>
      <c r="CB145" s="9"/>
      <c r="CC145" s="9"/>
      <c r="CF145" s="8"/>
      <c r="CG145" s="8"/>
      <c r="CH145" s="8"/>
      <c r="CI145" s="13"/>
      <c r="CJ145" s="8"/>
      <c r="CK145" s="8"/>
      <c r="CL145" s="8"/>
      <c r="CM145" s="8"/>
      <c r="CN145" s="8"/>
      <c r="CO145" s="8"/>
      <c r="CP145" s="13"/>
      <c r="CQ145" s="8"/>
      <c r="CR145" s="8"/>
      <c r="CS145" s="8"/>
      <c r="CT145" s="13"/>
      <c r="CU145" s="8"/>
      <c r="CV145" s="8"/>
      <c r="CW145" s="8"/>
      <c r="CX145" s="8"/>
      <c r="CY145" s="8"/>
      <c r="CZ145" s="13"/>
      <c r="DA145" s="8"/>
      <c r="DB145" s="8"/>
      <c r="DC145" s="8"/>
      <c r="DD145" s="8"/>
      <c r="DE145" s="13"/>
      <c r="DF145" s="10"/>
      <c r="DG145" s="10"/>
      <c r="DH145" s="10"/>
      <c r="DI145" s="10"/>
      <c r="DJ145" s="10"/>
      <c r="DK145" s="10"/>
      <c r="DL145" s="10"/>
      <c r="DM145" s="10"/>
      <c r="DN145" s="10"/>
      <c r="DO145" s="10"/>
      <c r="DP145" s="10"/>
      <c r="DQ145" s="10"/>
      <c r="DR145" s="10"/>
      <c r="DS145" s="14"/>
      <c r="DT145" s="14"/>
      <c r="DU145" s="14"/>
      <c r="DV145" s="14"/>
      <c r="DW145" s="14"/>
      <c r="DX145" s="14"/>
      <c r="DY145" s="14"/>
      <c r="DZ145" s="14"/>
    </row>
    <row r="146" spans="51:130" ht="12">
      <c r="AY146" s="13"/>
      <c r="BC146" s="13"/>
      <c r="BH146" s="13"/>
      <c r="BI146" s="13"/>
      <c r="BJ146" s="13"/>
      <c r="BK146" s="13"/>
      <c r="BL146" s="13"/>
      <c r="BM146" s="13"/>
      <c r="BN146" s="13"/>
      <c r="BO146" s="13"/>
      <c r="BQ146" s="13"/>
      <c r="BZ146" s="13"/>
      <c r="CI146" s="13"/>
      <c r="CP146" s="13"/>
      <c r="CT146" s="13"/>
      <c r="CZ146" s="13"/>
      <c r="DE146" s="13"/>
      <c r="DF146" s="14"/>
      <c r="DG146" s="14"/>
      <c r="DH146" s="14"/>
      <c r="DI146" s="14"/>
      <c r="DJ146" s="14"/>
      <c r="DK146" s="14"/>
      <c r="DL146" s="14"/>
      <c r="DM146" s="14"/>
      <c r="DN146" s="14"/>
      <c r="DO146" s="14"/>
      <c r="DP146" s="14"/>
      <c r="DQ146" s="14"/>
      <c r="DR146" s="14"/>
      <c r="DS146" s="14"/>
      <c r="DT146" s="14"/>
      <c r="DU146" s="14"/>
      <c r="DV146" s="14"/>
      <c r="DW146" s="14"/>
      <c r="DX146" s="14"/>
      <c r="DY146" s="14"/>
      <c r="DZ146" s="14"/>
    </row>
    <row r="147" spans="51:130" ht="12">
      <c r="AY147" s="13"/>
      <c r="BC147" s="13"/>
      <c r="BH147" s="13"/>
      <c r="BI147" s="13"/>
      <c r="BJ147" s="13"/>
      <c r="BK147" s="13"/>
      <c r="BL147" s="13"/>
      <c r="BM147" s="13"/>
      <c r="BN147" s="13"/>
      <c r="BO147" s="13"/>
      <c r="BQ147" s="13"/>
      <c r="BZ147" s="13"/>
      <c r="CI147" s="13"/>
      <c r="CP147" s="13"/>
      <c r="CT147" s="13"/>
      <c r="CZ147" s="13"/>
      <c r="DE147" s="13"/>
      <c r="DF147" s="14"/>
      <c r="DG147" s="14"/>
      <c r="DH147" s="14"/>
      <c r="DI147" s="14"/>
      <c r="DJ147" s="14"/>
      <c r="DK147" s="14"/>
      <c r="DL147" s="14"/>
      <c r="DM147" s="14"/>
      <c r="DN147" s="14"/>
      <c r="DO147" s="14"/>
      <c r="DP147" s="14"/>
      <c r="DQ147" s="14"/>
      <c r="DR147" s="14"/>
      <c r="DS147" s="14"/>
      <c r="DT147" s="14"/>
      <c r="DU147" s="14"/>
      <c r="DV147" s="14"/>
      <c r="DW147" s="14"/>
      <c r="DX147" s="14"/>
      <c r="DY147" s="14"/>
      <c r="DZ147" s="14"/>
    </row>
    <row r="148" spans="51:130" ht="12">
      <c r="AY148" s="13"/>
      <c r="BC148" s="13"/>
      <c r="BH148" s="13"/>
      <c r="BI148" s="13"/>
      <c r="BJ148" s="13"/>
      <c r="BK148" s="13"/>
      <c r="BL148" s="13"/>
      <c r="BM148" s="13"/>
      <c r="BN148" s="13"/>
      <c r="BO148" s="13"/>
      <c r="BQ148" s="13"/>
      <c r="BZ148" s="13"/>
      <c r="CI148" s="13"/>
      <c r="CP148" s="13"/>
      <c r="CT148" s="13"/>
      <c r="CZ148" s="13"/>
      <c r="DE148" s="13"/>
      <c r="DS148" s="14"/>
      <c r="DT148" s="14"/>
      <c r="DU148" s="14"/>
      <c r="DV148" s="14"/>
      <c r="DW148" s="14"/>
      <c r="DX148" s="14"/>
      <c r="DY148" s="14"/>
      <c r="DZ148" s="14"/>
    </row>
    <row r="149" spans="51:130" ht="12">
      <c r="AY149" s="13"/>
      <c r="BC149" s="13"/>
      <c r="BH149" s="13"/>
      <c r="BI149" s="13"/>
      <c r="BJ149" s="13"/>
      <c r="BK149" s="13"/>
      <c r="BL149" s="13"/>
      <c r="BM149" s="13"/>
      <c r="BN149" s="13"/>
      <c r="BO149" s="13"/>
      <c r="BQ149" s="13"/>
      <c r="BZ149" s="13"/>
      <c r="CI149" s="13"/>
      <c r="CP149" s="13"/>
      <c r="CT149" s="13"/>
      <c r="CZ149" s="13"/>
      <c r="DE149" s="13"/>
      <c r="DF149" s="14"/>
      <c r="DG149" s="14"/>
      <c r="DH149" s="14"/>
      <c r="DI149" s="14"/>
      <c r="DJ149" s="14"/>
      <c r="DK149" s="14"/>
      <c r="DL149" s="14"/>
      <c r="DM149" s="14"/>
      <c r="DN149" s="14"/>
      <c r="DO149" s="14"/>
      <c r="DP149" s="14"/>
      <c r="DQ149" s="14"/>
      <c r="DR149" s="14"/>
      <c r="DS149" s="14"/>
      <c r="DT149" s="14"/>
      <c r="DU149" s="14"/>
      <c r="DV149" s="14"/>
      <c r="DW149" s="14"/>
      <c r="DX149" s="14"/>
      <c r="DY149" s="14"/>
      <c r="DZ149" s="14"/>
    </row>
    <row r="150" spans="51:130" ht="12">
      <c r="AY150" s="13"/>
      <c r="BC150" s="13"/>
      <c r="BH150" s="13"/>
      <c r="BI150" s="13"/>
      <c r="BJ150" s="13"/>
      <c r="BK150" s="13"/>
      <c r="BL150" s="13"/>
      <c r="BM150" s="13"/>
      <c r="BN150" s="13"/>
      <c r="BO150" s="13"/>
      <c r="BQ150" s="13"/>
      <c r="BZ150" s="13"/>
      <c r="CI150" s="13"/>
      <c r="CP150" s="13"/>
      <c r="CT150" s="13"/>
      <c r="CZ150" s="13"/>
      <c r="DE150" s="13"/>
      <c r="DF150" s="14"/>
      <c r="DG150" s="14"/>
      <c r="DH150" s="14"/>
      <c r="DI150" s="14"/>
      <c r="DJ150" s="14"/>
      <c r="DK150" s="14"/>
      <c r="DL150" s="14"/>
      <c r="DM150" s="14"/>
      <c r="DN150" s="14"/>
      <c r="DO150" s="14"/>
      <c r="DP150" s="14"/>
      <c r="DQ150" s="14"/>
      <c r="DR150" s="14"/>
      <c r="DS150" s="14"/>
      <c r="DT150" s="14"/>
      <c r="DU150" s="14"/>
      <c r="DV150" s="14"/>
      <c r="DW150" s="14"/>
      <c r="DX150" s="14"/>
      <c r="DY150" s="14"/>
      <c r="DZ150" s="14"/>
    </row>
    <row r="151" spans="51:122" ht="12">
      <c r="AY151" s="13"/>
      <c r="BC151" s="13"/>
      <c r="BH151" s="13"/>
      <c r="BI151" s="13"/>
      <c r="BJ151" s="13"/>
      <c r="BK151" s="13"/>
      <c r="BL151" s="13"/>
      <c r="BM151" s="13"/>
      <c r="BN151" s="13"/>
      <c r="BO151" s="13"/>
      <c r="BQ151" s="13"/>
      <c r="BZ151" s="13"/>
      <c r="CI151" s="13"/>
      <c r="CP151" s="13"/>
      <c r="CT151" s="13"/>
      <c r="CZ151" s="13"/>
      <c r="DE151" s="13"/>
      <c r="DF151" s="14"/>
      <c r="DG151" s="14"/>
      <c r="DH151" s="14"/>
      <c r="DI151" s="14"/>
      <c r="DJ151" s="14"/>
      <c r="DK151" s="14"/>
      <c r="DL151" s="14"/>
      <c r="DM151" s="14"/>
      <c r="DN151" s="14"/>
      <c r="DO151" s="14"/>
      <c r="DP151" s="14"/>
      <c r="DQ151" s="14"/>
      <c r="DR151" s="14"/>
    </row>
    <row r="152" spans="51:109" ht="12">
      <c r="AY152" s="13"/>
      <c r="BC152" s="13"/>
      <c r="BH152" s="13"/>
      <c r="BI152" s="13"/>
      <c r="BJ152" s="13"/>
      <c r="BK152" s="13"/>
      <c r="BL152" s="13"/>
      <c r="BM152" s="13"/>
      <c r="BN152" s="13"/>
      <c r="BO152" s="13"/>
      <c r="BQ152" s="13"/>
      <c r="BZ152" s="13"/>
      <c r="CI152" s="13"/>
      <c r="CP152" s="13"/>
      <c r="CT152" s="13"/>
      <c r="CZ152" s="13"/>
      <c r="DE152" s="13"/>
    </row>
    <row r="153" spans="51:122" ht="12">
      <c r="AY153" s="13"/>
      <c r="BC153" s="13"/>
      <c r="BH153" s="13"/>
      <c r="BI153" s="13"/>
      <c r="BJ153" s="13"/>
      <c r="BK153" s="13"/>
      <c r="BL153" s="13"/>
      <c r="BM153" s="13"/>
      <c r="BN153" s="13"/>
      <c r="BO153" s="13"/>
      <c r="BQ153" s="13"/>
      <c r="BZ153" s="13"/>
      <c r="CI153" s="13"/>
      <c r="CP153" s="13"/>
      <c r="CT153" s="13"/>
      <c r="CZ153" s="13"/>
      <c r="DE153" s="13"/>
      <c r="DF153" s="14"/>
      <c r="DG153" s="14"/>
      <c r="DH153" s="14"/>
      <c r="DI153" s="14"/>
      <c r="DJ153" s="14"/>
      <c r="DK153" s="14"/>
      <c r="DL153" s="14"/>
      <c r="DM153" s="14"/>
      <c r="DN153" s="14"/>
      <c r="DO153" s="14"/>
      <c r="DP153" s="14"/>
      <c r="DQ153" s="14"/>
      <c r="DR153" s="14"/>
    </row>
    <row r="154" spans="51:122" ht="12">
      <c r="AY154" s="13"/>
      <c r="BC154" s="13"/>
      <c r="BH154" s="13"/>
      <c r="BI154" s="13"/>
      <c r="BJ154" s="13"/>
      <c r="BK154" s="13"/>
      <c r="BL154" s="13"/>
      <c r="BM154" s="13"/>
      <c r="BN154" s="13"/>
      <c r="BO154" s="13"/>
      <c r="BQ154" s="13"/>
      <c r="BZ154" s="13"/>
      <c r="CI154" s="13"/>
      <c r="CP154" s="13"/>
      <c r="CT154" s="13"/>
      <c r="CZ154" s="13"/>
      <c r="DE154" s="13"/>
      <c r="DF154" s="14"/>
      <c r="DG154" s="14"/>
      <c r="DH154" s="14"/>
      <c r="DI154" s="14"/>
      <c r="DJ154" s="14"/>
      <c r="DK154" s="14"/>
      <c r="DL154" s="14"/>
      <c r="DM154" s="14"/>
      <c r="DN154" s="14"/>
      <c r="DO154" s="14"/>
      <c r="DP154" s="14"/>
      <c r="DQ154" s="14"/>
      <c r="DR154" s="14"/>
    </row>
    <row r="155" spans="51:122" ht="12">
      <c r="AY155" s="13"/>
      <c r="BC155" s="13"/>
      <c r="BH155" s="13"/>
      <c r="BI155" s="13"/>
      <c r="BJ155" s="13"/>
      <c r="BK155" s="13"/>
      <c r="BL155" s="13"/>
      <c r="BM155" s="13"/>
      <c r="BN155" s="13"/>
      <c r="BO155" s="13"/>
      <c r="BQ155" s="13"/>
      <c r="BZ155" s="13"/>
      <c r="CI155" s="13"/>
      <c r="CP155" s="13"/>
      <c r="CT155" s="13"/>
      <c r="CZ155" s="13"/>
      <c r="DE155" s="13"/>
      <c r="DF155" s="14"/>
      <c r="DG155" s="14"/>
      <c r="DH155" s="14"/>
      <c r="DI155" s="14"/>
      <c r="DJ155" s="14"/>
      <c r="DK155" s="14"/>
      <c r="DL155" s="14"/>
      <c r="DM155" s="14"/>
      <c r="DN155" s="14"/>
      <c r="DO155" s="14"/>
      <c r="DP155" s="14"/>
      <c r="DQ155" s="14"/>
      <c r="DR155" s="14"/>
    </row>
    <row r="156" spans="51:109" ht="12">
      <c r="AY156" s="13"/>
      <c r="BC156" s="13"/>
      <c r="BH156" s="13"/>
      <c r="BI156" s="13"/>
      <c r="BJ156" s="13"/>
      <c r="BK156" s="13"/>
      <c r="BL156" s="13"/>
      <c r="BM156" s="13"/>
      <c r="BN156" s="13"/>
      <c r="BO156" s="13"/>
      <c r="BQ156" s="13"/>
      <c r="BZ156" s="13"/>
      <c r="CI156" s="13"/>
      <c r="CP156" s="13"/>
      <c r="CT156" s="13"/>
      <c r="CZ156" s="13"/>
      <c r="DE156" s="13"/>
    </row>
    <row r="157" spans="51:122" ht="12">
      <c r="AY157" s="13"/>
      <c r="BC157" s="13"/>
      <c r="BH157" s="13"/>
      <c r="BI157" s="13"/>
      <c r="BJ157" s="13"/>
      <c r="BK157" s="13"/>
      <c r="BL157" s="13"/>
      <c r="BM157" s="13"/>
      <c r="BN157" s="13"/>
      <c r="BO157" s="13"/>
      <c r="BQ157" s="13"/>
      <c r="BZ157" s="13"/>
      <c r="CI157" s="13"/>
      <c r="CP157" s="13"/>
      <c r="CT157" s="13"/>
      <c r="CZ157" s="13"/>
      <c r="DE157" s="13"/>
      <c r="DF157" s="14"/>
      <c r="DG157" s="14"/>
      <c r="DH157" s="14"/>
      <c r="DI157" s="14"/>
      <c r="DJ157" s="14"/>
      <c r="DK157" s="14"/>
      <c r="DL157" s="14"/>
      <c r="DM157" s="14"/>
      <c r="DN157" s="14"/>
      <c r="DO157" s="14"/>
      <c r="DP157" s="14"/>
      <c r="DQ157" s="14"/>
      <c r="DR157" s="14"/>
    </row>
    <row r="158" spans="51:122" ht="12">
      <c r="AY158" s="13"/>
      <c r="BC158" s="13"/>
      <c r="BH158" s="13"/>
      <c r="BI158" s="13"/>
      <c r="BJ158" s="13"/>
      <c r="BK158" s="13"/>
      <c r="BL158" s="13"/>
      <c r="BM158" s="13"/>
      <c r="BN158" s="13"/>
      <c r="BO158" s="13"/>
      <c r="BQ158" s="13"/>
      <c r="BZ158" s="13"/>
      <c r="CI158" s="13"/>
      <c r="CP158" s="13"/>
      <c r="CT158" s="13"/>
      <c r="CZ158" s="13"/>
      <c r="DE158" s="13"/>
      <c r="DF158" s="14"/>
      <c r="DG158" s="14"/>
      <c r="DH158" s="14"/>
      <c r="DI158" s="14"/>
      <c r="DJ158" s="14"/>
      <c r="DK158" s="14"/>
      <c r="DL158" s="14"/>
      <c r="DM158" s="14"/>
      <c r="DN158" s="14"/>
      <c r="DO158" s="14"/>
      <c r="DP158" s="14"/>
      <c r="DQ158" s="14"/>
      <c r="DR158" s="14"/>
    </row>
    <row r="159" spans="51:122" ht="12">
      <c r="AY159" s="13"/>
      <c r="BC159" s="13"/>
      <c r="BH159" s="13"/>
      <c r="BI159" s="13"/>
      <c r="BJ159" s="13"/>
      <c r="BK159" s="13"/>
      <c r="BL159" s="13"/>
      <c r="BM159" s="13"/>
      <c r="BN159" s="13"/>
      <c r="BO159" s="13"/>
      <c r="BQ159" s="13"/>
      <c r="BZ159" s="13"/>
      <c r="CI159" s="13"/>
      <c r="CP159" s="13"/>
      <c r="CT159" s="13"/>
      <c r="CZ159" s="13"/>
      <c r="DE159" s="13"/>
      <c r="DF159" s="14"/>
      <c r="DG159" s="14"/>
      <c r="DH159" s="14"/>
      <c r="DI159" s="14"/>
      <c r="DJ159" s="14"/>
      <c r="DK159" s="14"/>
      <c r="DL159" s="14"/>
      <c r="DM159" s="14"/>
      <c r="DN159" s="14"/>
      <c r="DO159" s="14"/>
      <c r="DP159" s="14"/>
      <c r="DQ159" s="14"/>
      <c r="DR159" s="14"/>
    </row>
    <row r="160" spans="51:109" ht="12">
      <c r="AY160" s="13"/>
      <c r="BC160" s="13"/>
      <c r="BH160" s="13"/>
      <c r="BI160" s="13"/>
      <c r="BJ160" s="13"/>
      <c r="BK160" s="13"/>
      <c r="BL160" s="13"/>
      <c r="BM160" s="13"/>
      <c r="BN160" s="13"/>
      <c r="BO160" s="13"/>
      <c r="BQ160" s="13"/>
      <c r="BZ160" s="13"/>
      <c r="CI160" s="13"/>
      <c r="CP160" s="13"/>
      <c r="CT160" s="13"/>
      <c r="CZ160" s="13"/>
      <c r="DE160" s="13"/>
    </row>
    <row r="161" spans="51:122" ht="12">
      <c r="AY161" s="13"/>
      <c r="BC161" s="13"/>
      <c r="BH161" s="13"/>
      <c r="BI161" s="13"/>
      <c r="BJ161" s="13"/>
      <c r="BK161" s="13"/>
      <c r="BL161" s="13"/>
      <c r="BM161" s="13"/>
      <c r="BN161" s="13"/>
      <c r="BO161" s="13"/>
      <c r="BQ161" s="13"/>
      <c r="BZ161" s="13"/>
      <c r="CI161" s="13"/>
      <c r="CP161" s="13"/>
      <c r="CT161" s="13"/>
      <c r="CZ161" s="13"/>
      <c r="DE161" s="13"/>
      <c r="DF161" s="14"/>
      <c r="DG161" s="14"/>
      <c r="DH161" s="14"/>
      <c r="DI161" s="14"/>
      <c r="DJ161" s="14"/>
      <c r="DK161" s="14"/>
      <c r="DL161" s="14"/>
      <c r="DM161" s="14"/>
      <c r="DN161" s="14"/>
      <c r="DO161" s="14"/>
      <c r="DP161" s="14"/>
      <c r="DQ161" s="14"/>
      <c r="DR161" s="14"/>
    </row>
    <row r="162" spans="51:122" ht="12">
      <c r="AY162" s="13"/>
      <c r="BC162" s="13"/>
      <c r="BH162" s="13"/>
      <c r="BI162" s="13"/>
      <c r="BJ162" s="13"/>
      <c r="BK162" s="13"/>
      <c r="BL162" s="13"/>
      <c r="BM162" s="13"/>
      <c r="BN162" s="13"/>
      <c r="BO162" s="13"/>
      <c r="BQ162" s="13"/>
      <c r="BZ162" s="13"/>
      <c r="CI162" s="13"/>
      <c r="CP162" s="13"/>
      <c r="CT162" s="13"/>
      <c r="CZ162" s="13"/>
      <c r="DE162" s="13"/>
      <c r="DF162" s="14"/>
      <c r="DG162" s="14"/>
      <c r="DH162" s="14"/>
      <c r="DI162" s="14"/>
      <c r="DJ162" s="14"/>
      <c r="DK162" s="14"/>
      <c r="DL162" s="14"/>
      <c r="DM162" s="14"/>
      <c r="DN162" s="14"/>
      <c r="DO162" s="14"/>
      <c r="DP162" s="14"/>
      <c r="DQ162" s="14"/>
      <c r="DR162" s="14"/>
    </row>
    <row r="163" spans="51:122" ht="12">
      <c r="AY163" s="13"/>
      <c r="BC163" s="13"/>
      <c r="BH163" s="13"/>
      <c r="BI163" s="13"/>
      <c r="BJ163" s="13"/>
      <c r="BK163" s="13"/>
      <c r="BL163" s="13"/>
      <c r="BM163" s="13"/>
      <c r="BN163" s="13"/>
      <c r="BO163" s="13"/>
      <c r="BQ163" s="13"/>
      <c r="BZ163" s="13"/>
      <c r="CI163" s="13"/>
      <c r="CP163" s="13"/>
      <c r="CT163" s="13"/>
      <c r="CZ163" s="13"/>
      <c r="DE163" s="13"/>
      <c r="DF163" s="14"/>
      <c r="DG163" s="14"/>
      <c r="DH163" s="14"/>
      <c r="DI163" s="14"/>
      <c r="DJ163" s="14"/>
      <c r="DK163" s="14"/>
      <c r="DL163" s="14"/>
      <c r="DM163" s="14"/>
      <c r="DN163" s="14"/>
      <c r="DO163" s="14"/>
      <c r="DP163" s="14"/>
      <c r="DQ163" s="14"/>
      <c r="DR163" s="14"/>
    </row>
    <row r="164" spans="51:109" ht="12">
      <c r="AY164" s="13"/>
      <c r="BC164" s="13"/>
      <c r="BH164" s="13"/>
      <c r="BI164" s="13"/>
      <c r="BJ164" s="13"/>
      <c r="BK164" s="13"/>
      <c r="BL164" s="13"/>
      <c r="BM164" s="13"/>
      <c r="BN164" s="13"/>
      <c r="BO164" s="13"/>
      <c r="BQ164" s="13"/>
      <c r="BZ164" s="13"/>
      <c r="CI164" s="13"/>
      <c r="CP164" s="13"/>
      <c r="CT164" s="13"/>
      <c r="CZ164" s="13"/>
      <c r="DE164" s="13"/>
    </row>
    <row r="165" spans="51:122" ht="12">
      <c r="AY165" s="13"/>
      <c r="BC165" s="13"/>
      <c r="BH165" s="13"/>
      <c r="BI165" s="13"/>
      <c r="BJ165" s="13"/>
      <c r="BK165" s="13"/>
      <c r="BL165" s="13"/>
      <c r="BM165" s="13"/>
      <c r="BN165" s="13"/>
      <c r="BO165" s="13"/>
      <c r="BQ165" s="13"/>
      <c r="BZ165" s="13"/>
      <c r="CI165" s="13"/>
      <c r="CP165" s="13"/>
      <c r="CT165" s="13"/>
      <c r="CZ165" s="13"/>
      <c r="DE165" s="13"/>
      <c r="DF165" s="14"/>
      <c r="DG165" s="14"/>
      <c r="DH165" s="14"/>
      <c r="DI165" s="14"/>
      <c r="DJ165" s="14"/>
      <c r="DK165" s="14"/>
      <c r="DL165" s="14"/>
      <c r="DM165" s="14"/>
      <c r="DN165" s="14"/>
      <c r="DO165" s="14"/>
      <c r="DP165" s="14"/>
      <c r="DQ165" s="14"/>
      <c r="DR165" s="14"/>
    </row>
    <row r="166" spans="51:122" ht="12">
      <c r="AY166" s="13"/>
      <c r="BC166" s="13"/>
      <c r="BH166" s="13"/>
      <c r="BI166" s="13"/>
      <c r="BJ166" s="13"/>
      <c r="BK166" s="13"/>
      <c r="BL166" s="13"/>
      <c r="BM166" s="13"/>
      <c r="BN166" s="13"/>
      <c r="BO166" s="13"/>
      <c r="BQ166" s="13"/>
      <c r="BZ166" s="13"/>
      <c r="CI166" s="13"/>
      <c r="CP166" s="13"/>
      <c r="CT166" s="13"/>
      <c r="CZ166" s="13"/>
      <c r="DE166" s="13"/>
      <c r="DF166" s="14"/>
      <c r="DG166" s="14"/>
      <c r="DH166" s="14"/>
      <c r="DI166" s="14"/>
      <c r="DJ166" s="14"/>
      <c r="DK166" s="14"/>
      <c r="DL166" s="14"/>
      <c r="DM166" s="14"/>
      <c r="DN166" s="14"/>
      <c r="DO166" s="14"/>
      <c r="DP166" s="14"/>
      <c r="DQ166" s="14"/>
      <c r="DR166" s="14"/>
    </row>
    <row r="167" spans="51:122" ht="12">
      <c r="AY167" s="13"/>
      <c r="BC167" s="13"/>
      <c r="BH167" s="13"/>
      <c r="BI167" s="13"/>
      <c r="BJ167" s="13"/>
      <c r="BK167" s="13"/>
      <c r="BL167" s="13"/>
      <c r="BM167" s="13"/>
      <c r="BN167" s="13"/>
      <c r="BO167" s="13"/>
      <c r="BQ167" s="13"/>
      <c r="BZ167" s="13"/>
      <c r="CI167" s="13"/>
      <c r="CP167" s="13"/>
      <c r="CT167" s="13"/>
      <c r="CZ167" s="13"/>
      <c r="DE167" s="13"/>
      <c r="DF167" s="14"/>
      <c r="DG167" s="14"/>
      <c r="DH167" s="14"/>
      <c r="DI167" s="14"/>
      <c r="DJ167" s="14"/>
      <c r="DK167" s="14"/>
      <c r="DL167" s="14"/>
      <c r="DM167" s="14"/>
      <c r="DN167" s="14"/>
      <c r="DO167" s="14"/>
      <c r="DP167" s="14"/>
      <c r="DQ167" s="14"/>
      <c r="DR167" s="14"/>
    </row>
    <row r="168" spans="51:109" ht="12">
      <c r="AY168" s="13"/>
      <c r="BC168" s="13"/>
      <c r="BH168" s="13"/>
      <c r="BI168" s="13"/>
      <c r="BJ168" s="13"/>
      <c r="BK168" s="13"/>
      <c r="BL168" s="13"/>
      <c r="BM168" s="13"/>
      <c r="BN168" s="13"/>
      <c r="BO168" s="13"/>
      <c r="BQ168" s="13"/>
      <c r="BZ168" s="13"/>
      <c r="CI168" s="13"/>
      <c r="CP168" s="13"/>
      <c r="CT168" s="13"/>
      <c r="CZ168" s="13"/>
      <c r="DE168" s="13"/>
    </row>
    <row r="169" spans="51:122" ht="12">
      <c r="AY169" s="13"/>
      <c r="BC169" s="13"/>
      <c r="BH169" s="13"/>
      <c r="BI169" s="13"/>
      <c r="BJ169" s="13"/>
      <c r="BK169" s="13"/>
      <c r="BL169" s="13"/>
      <c r="BM169" s="13"/>
      <c r="BN169" s="13"/>
      <c r="BO169" s="13"/>
      <c r="BQ169" s="13"/>
      <c r="BZ169" s="13"/>
      <c r="CI169" s="13"/>
      <c r="CP169" s="13"/>
      <c r="CT169" s="13"/>
      <c r="CZ169" s="13"/>
      <c r="DE169" s="13"/>
      <c r="DF169" s="14"/>
      <c r="DG169" s="14"/>
      <c r="DH169" s="14"/>
      <c r="DI169" s="14"/>
      <c r="DJ169" s="14"/>
      <c r="DK169" s="14"/>
      <c r="DL169" s="14"/>
      <c r="DM169" s="14"/>
      <c r="DN169" s="14"/>
      <c r="DO169" s="14"/>
      <c r="DP169" s="14"/>
      <c r="DQ169" s="14"/>
      <c r="DR169" s="14"/>
    </row>
    <row r="170" spans="51:122" ht="12">
      <c r="AY170" s="13"/>
      <c r="BC170" s="13"/>
      <c r="BH170" s="13"/>
      <c r="BI170" s="13"/>
      <c r="BJ170" s="13"/>
      <c r="BK170" s="13"/>
      <c r="BL170" s="13"/>
      <c r="BM170" s="13"/>
      <c r="BN170" s="13"/>
      <c r="BO170" s="13"/>
      <c r="BQ170" s="13"/>
      <c r="BZ170" s="13"/>
      <c r="CI170" s="13"/>
      <c r="CP170" s="13"/>
      <c r="CT170" s="13"/>
      <c r="CZ170" s="13"/>
      <c r="DE170" s="13"/>
      <c r="DF170" s="14"/>
      <c r="DG170" s="14"/>
      <c r="DH170" s="14"/>
      <c r="DI170" s="14"/>
      <c r="DJ170" s="14"/>
      <c r="DK170" s="14"/>
      <c r="DL170" s="14"/>
      <c r="DM170" s="14"/>
      <c r="DN170" s="14"/>
      <c r="DO170" s="14"/>
      <c r="DP170" s="14"/>
      <c r="DQ170" s="14"/>
      <c r="DR170" s="14"/>
    </row>
    <row r="171" spans="51:122" ht="12">
      <c r="AY171" s="13"/>
      <c r="BC171" s="13"/>
      <c r="BH171" s="13"/>
      <c r="BI171" s="13"/>
      <c r="BJ171" s="13"/>
      <c r="BK171" s="13"/>
      <c r="BL171" s="13"/>
      <c r="BM171" s="13"/>
      <c r="BN171" s="13"/>
      <c r="BO171" s="13"/>
      <c r="BQ171" s="13"/>
      <c r="BZ171" s="13"/>
      <c r="CI171" s="13"/>
      <c r="CP171" s="13"/>
      <c r="CT171" s="13"/>
      <c r="CZ171" s="13"/>
      <c r="DE171" s="13"/>
      <c r="DF171" s="14"/>
      <c r="DG171" s="14"/>
      <c r="DH171" s="14"/>
      <c r="DI171" s="14"/>
      <c r="DJ171" s="14"/>
      <c r="DK171" s="14"/>
      <c r="DL171" s="14"/>
      <c r="DM171" s="14"/>
      <c r="DN171" s="14"/>
      <c r="DO171" s="14"/>
      <c r="DP171" s="14"/>
      <c r="DQ171" s="14"/>
      <c r="DR171" s="14"/>
    </row>
    <row r="172" spans="51:109" ht="12">
      <c r="AY172" s="13"/>
      <c r="BC172" s="13"/>
      <c r="BH172" s="13"/>
      <c r="BI172" s="13"/>
      <c r="BJ172" s="13"/>
      <c r="BK172" s="13"/>
      <c r="BL172" s="13"/>
      <c r="BM172" s="13"/>
      <c r="BN172" s="13"/>
      <c r="BO172" s="13"/>
      <c r="BQ172" s="13"/>
      <c r="BZ172" s="13"/>
      <c r="CI172" s="13"/>
      <c r="CP172" s="13"/>
      <c r="CT172" s="13"/>
      <c r="CZ172" s="13"/>
      <c r="DE172" s="13"/>
    </row>
    <row r="173" spans="51:122" ht="12">
      <c r="AY173" s="13"/>
      <c r="BC173" s="13"/>
      <c r="BH173" s="13"/>
      <c r="BI173" s="13"/>
      <c r="BJ173" s="13"/>
      <c r="BK173" s="13"/>
      <c r="BL173" s="13"/>
      <c r="BM173" s="13"/>
      <c r="BN173" s="13"/>
      <c r="BO173" s="13"/>
      <c r="BQ173" s="13"/>
      <c r="BZ173" s="13"/>
      <c r="CI173" s="13"/>
      <c r="CP173" s="13"/>
      <c r="CT173" s="13"/>
      <c r="CZ173" s="13"/>
      <c r="DE173" s="13"/>
      <c r="DF173" s="14"/>
      <c r="DG173" s="14"/>
      <c r="DH173" s="14"/>
      <c r="DI173" s="14"/>
      <c r="DJ173" s="14"/>
      <c r="DK173" s="14"/>
      <c r="DL173" s="14"/>
      <c r="DM173" s="14"/>
      <c r="DN173" s="14"/>
      <c r="DO173" s="14"/>
      <c r="DP173" s="14"/>
      <c r="DQ173" s="14"/>
      <c r="DR173" s="14"/>
    </row>
    <row r="174" spans="51:122" ht="12">
      <c r="AY174" s="13"/>
      <c r="BC174" s="13"/>
      <c r="BH174" s="13"/>
      <c r="BI174" s="13"/>
      <c r="BJ174" s="13"/>
      <c r="BK174" s="13"/>
      <c r="BL174" s="13"/>
      <c r="BM174" s="13"/>
      <c r="BN174" s="13"/>
      <c r="BO174" s="13"/>
      <c r="BQ174" s="13"/>
      <c r="BZ174" s="13"/>
      <c r="CI174" s="13"/>
      <c r="CP174" s="13"/>
      <c r="CT174" s="13"/>
      <c r="CZ174" s="13"/>
      <c r="DE174" s="13"/>
      <c r="DF174" s="14"/>
      <c r="DG174" s="14"/>
      <c r="DH174" s="14"/>
      <c r="DI174" s="14"/>
      <c r="DJ174" s="14"/>
      <c r="DK174" s="14"/>
      <c r="DL174" s="14"/>
      <c r="DM174" s="14"/>
      <c r="DN174" s="14"/>
      <c r="DO174" s="14"/>
      <c r="DP174" s="14"/>
      <c r="DQ174" s="14"/>
      <c r="DR174" s="14"/>
    </row>
    <row r="175" spans="51:122" ht="12">
      <c r="AY175" s="13"/>
      <c r="BC175" s="13"/>
      <c r="BH175" s="13"/>
      <c r="BI175" s="13"/>
      <c r="BJ175" s="13"/>
      <c r="BK175" s="13"/>
      <c r="BL175" s="13"/>
      <c r="BM175" s="13"/>
      <c r="BN175" s="13"/>
      <c r="BO175" s="13"/>
      <c r="BQ175" s="13"/>
      <c r="BZ175" s="13"/>
      <c r="CI175" s="13"/>
      <c r="CP175" s="13"/>
      <c r="CT175" s="13"/>
      <c r="CZ175" s="13"/>
      <c r="DE175" s="13"/>
      <c r="DF175" s="14"/>
      <c r="DG175" s="14"/>
      <c r="DH175" s="14"/>
      <c r="DI175" s="14"/>
      <c r="DJ175" s="14"/>
      <c r="DK175" s="14"/>
      <c r="DL175" s="14"/>
      <c r="DM175" s="14"/>
      <c r="DN175" s="14"/>
      <c r="DO175" s="14"/>
      <c r="DP175" s="14"/>
      <c r="DQ175" s="14"/>
      <c r="DR175" s="14"/>
    </row>
    <row r="176" spans="51:109" ht="12">
      <c r="AY176" s="13"/>
      <c r="BC176" s="13"/>
      <c r="BH176" s="13"/>
      <c r="BI176" s="13"/>
      <c r="BJ176" s="13"/>
      <c r="BK176" s="13"/>
      <c r="BL176" s="13"/>
      <c r="BM176" s="13"/>
      <c r="BN176" s="13"/>
      <c r="BO176" s="13"/>
      <c r="BQ176" s="13"/>
      <c r="BZ176" s="13"/>
      <c r="CI176" s="13"/>
      <c r="CP176" s="13"/>
      <c r="CT176" s="13"/>
      <c r="CZ176" s="13"/>
      <c r="DE176" s="13"/>
    </row>
    <row r="177" spans="51:122" ht="12">
      <c r="AY177" s="13"/>
      <c r="BC177" s="13"/>
      <c r="BH177" s="13"/>
      <c r="BI177" s="13"/>
      <c r="BJ177" s="13"/>
      <c r="BK177" s="13"/>
      <c r="BL177" s="13"/>
      <c r="BM177" s="13"/>
      <c r="BN177" s="13"/>
      <c r="BO177" s="13"/>
      <c r="BQ177" s="13"/>
      <c r="BZ177" s="13"/>
      <c r="CI177" s="13"/>
      <c r="CP177" s="13"/>
      <c r="CT177" s="13"/>
      <c r="CZ177" s="13"/>
      <c r="DE177" s="13"/>
      <c r="DF177" s="14"/>
      <c r="DG177" s="14"/>
      <c r="DH177" s="14"/>
      <c r="DI177" s="14"/>
      <c r="DJ177" s="14"/>
      <c r="DK177" s="14"/>
      <c r="DL177" s="14"/>
      <c r="DM177" s="14"/>
      <c r="DN177" s="14"/>
      <c r="DO177" s="14"/>
      <c r="DP177" s="14"/>
      <c r="DQ177" s="14"/>
      <c r="DR177" s="14"/>
    </row>
    <row r="178" spans="51:122" ht="12">
      <c r="AY178" s="13"/>
      <c r="BC178" s="13"/>
      <c r="BH178" s="13"/>
      <c r="BI178" s="13"/>
      <c r="BJ178" s="13"/>
      <c r="BK178" s="13"/>
      <c r="BL178" s="13"/>
      <c r="BM178" s="13"/>
      <c r="BN178" s="13"/>
      <c r="BO178" s="13"/>
      <c r="BQ178" s="13"/>
      <c r="BZ178" s="13"/>
      <c r="CI178" s="13"/>
      <c r="CP178" s="13"/>
      <c r="CT178" s="13"/>
      <c r="CZ178" s="13"/>
      <c r="DE178" s="13"/>
      <c r="DF178" s="14"/>
      <c r="DG178" s="14"/>
      <c r="DH178" s="14"/>
      <c r="DI178" s="14"/>
      <c r="DJ178" s="14"/>
      <c r="DK178" s="14"/>
      <c r="DL178" s="14"/>
      <c r="DM178" s="14"/>
      <c r="DN178" s="14"/>
      <c r="DO178" s="14"/>
      <c r="DP178" s="14"/>
      <c r="DQ178" s="14"/>
      <c r="DR178" s="14"/>
    </row>
    <row r="179" spans="51:122" ht="12">
      <c r="AY179" s="13"/>
      <c r="BC179" s="13"/>
      <c r="BH179" s="13"/>
      <c r="BI179" s="13"/>
      <c r="BJ179" s="13"/>
      <c r="BK179" s="13"/>
      <c r="BL179" s="13"/>
      <c r="BM179" s="13"/>
      <c r="BN179" s="13"/>
      <c r="BO179" s="13"/>
      <c r="BQ179" s="13"/>
      <c r="BZ179" s="13"/>
      <c r="CI179" s="13"/>
      <c r="CP179" s="13"/>
      <c r="CT179" s="13"/>
      <c r="CZ179" s="13"/>
      <c r="DE179" s="13"/>
      <c r="DF179" s="14"/>
      <c r="DG179" s="14"/>
      <c r="DH179" s="14"/>
      <c r="DI179" s="14"/>
      <c r="DJ179" s="14"/>
      <c r="DK179" s="14"/>
      <c r="DL179" s="14"/>
      <c r="DM179" s="14"/>
      <c r="DN179" s="14"/>
      <c r="DO179" s="14"/>
      <c r="DP179" s="14"/>
      <c r="DQ179" s="14"/>
      <c r="DR179" s="14"/>
    </row>
    <row r="180" spans="51:109" ht="12">
      <c r="AY180" s="13"/>
      <c r="BC180" s="13"/>
      <c r="BH180" s="13"/>
      <c r="BI180" s="13"/>
      <c r="BJ180" s="13"/>
      <c r="BK180" s="13"/>
      <c r="BL180" s="13"/>
      <c r="BM180" s="13"/>
      <c r="BN180" s="13"/>
      <c r="BO180" s="13"/>
      <c r="BQ180" s="13"/>
      <c r="BZ180" s="13"/>
      <c r="CI180" s="13"/>
      <c r="CP180" s="13"/>
      <c r="CT180" s="13"/>
      <c r="CZ180" s="13"/>
      <c r="DE180" s="1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U100"/>
  <sheetViews>
    <sheetView tabSelected="1" zoomScalePageLayoutView="0" workbookViewId="0" topLeftCell="A1">
      <pane xSplit="1" ySplit="17" topLeftCell="B69" activePane="bottomRight" state="frozen"/>
      <selection pane="topLeft" activeCell="A1" sqref="A1"/>
      <selection pane="topRight" activeCell="B1" sqref="B1"/>
      <selection pane="bottomLeft" activeCell="A18" sqref="A18"/>
      <selection pane="bottomRight" activeCell="B86" sqref="B86"/>
    </sheetView>
  </sheetViews>
  <sheetFormatPr defaultColWidth="9.625" defaultRowHeight="12.75"/>
  <cols>
    <col min="1" max="1" width="14.625" style="2" customWidth="1"/>
    <col min="2" max="2" width="9.625" style="2" customWidth="1"/>
    <col min="3" max="3" width="10.625" style="2" customWidth="1"/>
    <col min="4" max="7" width="9.625" style="2" customWidth="1"/>
    <col min="8" max="8" width="11.625" style="2" customWidth="1"/>
    <col min="9" max="11" width="9.625" style="2" customWidth="1"/>
    <col min="12" max="12" width="11.625" style="2" customWidth="1"/>
    <col min="13" max="18" width="9.625" style="2" customWidth="1"/>
    <col min="19" max="19" width="10.625" style="2" customWidth="1"/>
    <col min="20" max="23" width="9.625" style="2" customWidth="1"/>
    <col min="24" max="24" width="11.625" style="2" customWidth="1"/>
    <col min="25" max="27" width="9.625" style="2" customWidth="1"/>
    <col min="28" max="28" width="11.625" style="2" customWidth="1"/>
    <col min="29" max="34" width="9.625" style="2" customWidth="1"/>
    <col min="35" max="35" width="10.625" style="2" customWidth="1"/>
    <col min="36" max="39" width="9.625" style="2" customWidth="1"/>
    <col min="40" max="40" width="11.625" style="2" customWidth="1"/>
    <col min="41" max="41" width="9.625" style="2" customWidth="1"/>
    <col min="42" max="42" width="10.625" style="2" customWidth="1"/>
    <col min="43" max="43" width="9.625" style="2" customWidth="1"/>
    <col min="44" max="44" width="11.625" style="2" customWidth="1"/>
    <col min="45" max="50" width="9.625" style="2" customWidth="1"/>
    <col min="51" max="51" width="10.625" style="2" customWidth="1"/>
    <col min="52" max="55" width="9.625" style="2" customWidth="1"/>
    <col min="56" max="56" width="11.625" style="2" customWidth="1"/>
    <col min="57" max="59" width="9.625" style="2" customWidth="1"/>
    <col min="60" max="60" width="11.625" style="2" customWidth="1"/>
    <col min="61" max="66" width="9.625" style="2" customWidth="1"/>
    <col min="67" max="67" width="10.625" style="2" customWidth="1"/>
    <col min="68" max="71" width="9.625" style="2" customWidth="1"/>
    <col min="72" max="72" width="11.625" style="2" customWidth="1"/>
    <col min="73" max="75" width="9.625" style="2" customWidth="1"/>
    <col min="76" max="76" width="11.625" style="2" customWidth="1"/>
    <col min="77" max="82" width="9.625" style="2" customWidth="1"/>
    <col min="83" max="83" width="10.625" style="2" customWidth="1"/>
    <col min="84" max="87" width="9.625" style="2" customWidth="1"/>
    <col min="88" max="88" width="11.625" style="2" customWidth="1"/>
    <col min="89" max="91" width="9.625" style="2" customWidth="1"/>
    <col min="92" max="92" width="11.625" style="2" customWidth="1"/>
    <col min="93" max="98" width="9.625" style="2" customWidth="1"/>
    <col min="99" max="99" width="10.625" style="2" customWidth="1"/>
    <col min="100" max="103" width="9.625" style="2" customWidth="1"/>
    <col min="104" max="104" width="11.625" style="2" customWidth="1"/>
    <col min="105" max="105" width="9.625" style="2" customWidth="1"/>
    <col min="106" max="106" width="10.625" style="2" customWidth="1"/>
    <col min="107" max="107" width="9.625" style="2" customWidth="1"/>
    <col min="108" max="108" width="11.625" style="2" customWidth="1"/>
    <col min="109" max="114" width="9.625" style="2" customWidth="1"/>
    <col min="115" max="115" width="10.625" style="2" customWidth="1"/>
    <col min="116" max="119" width="9.625" style="2" customWidth="1"/>
    <col min="120" max="120" width="11.625" style="2" customWidth="1"/>
    <col min="121" max="121" width="9.625" style="2" customWidth="1"/>
    <col min="122" max="122" width="10.625" style="2" customWidth="1"/>
    <col min="123" max="123" width="9.625" style="2" customWidth="1"/>
    <col min="124" max="124" width="11.625" style="2" customWidth="1"/>
    <col min="125" max="130" width="9.625" style="2" customWidth="1"/>
    <col min="131" max="131" width="10.625" style="2" customWidth="1"/>
    <col min="132" max="135" width="9.625" style="2" customWidth="1"/>
    <col min="136" max="136" width="11.625" style="2" customWidth="1"/>
    <col min="137" max="137" width="9.625" style="2" customWidth="1"/>
    <col min="138" max="138" width="10.625" style="2" customWidth="1"/>
    <col min="139" max="139" width="9.625" style="2" customWidth="1"/>
    <col min="140" max="140" width="11.625" style="2" customWidth="1"/>
    <col min="141" max="146" width="9.625" style="2" customWidth="1"/>
    <col min="147" max="147" width="10.625" style="2" customWidth="1"/>
    <col min="148" max="151" width="9.625" style="2" customWidth="1"/>
    <col min="152" max="152" width="11.625" style="2" customWidth="1"/>
    <col min="153" max="153" width="9.625" style="2" customWidth="1"/>
    <col min="154" max="154" width="10.625" style="2" customWidth="1"/>
    <col min="155" max="155" width="9.625" style="2" customWidth="1"/>
    <col min="156" max="156" width="11.625" style="2" customWidth="1"/>
    <col min="157" max="162" width="9.625" style="2" customWidth="1"/>
    <col min="163" max="163" width="10.625" style="2" customWidth="1"/>
    <col min="164" max="167" width="9.625" style="2" customWidth="1"/>
    <col min="168" max="168" width="11.625" style="2" customWidth="1"/>
    <col min="169" max="169" width="9.625" style="2" customWidth="1"/>
    <col min="170" max="170" width="10.625" style="2" customWidth="1"/>
    <col min="171" max="171" width="9.625" style="2" customWidth="1"/>
    <col min="172" max="172" width="11.625" style="2" customWidth="1"/>
    <col min="173" max="16384" width="9.625" style="2" customWidth="1"/>
  </cols>
  <sheetData>
    <row r="1" ht="12">
      <c r="A1" s="1" t="s">
        <v>295</v>
      </c>
    </row>
    <row r="2" ht="12">
      <c r="A2" s="1" t="s">
        <v>201</v>
      </c>
    </row>
    <row r="3" ht="12">
      <c r="A3" s="3" t="s">
        <v>303</v>
      </c>
    </row>
    <row r="4" ht="12.75" thickBot="1">
      <c r="A4" s="1"/>
    </row>
    <row r="5" spans="1:177" ht="12.75" thickTop="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row>
    <row r="6" spans="2:177" ht="12">
      <c r="B6" s="19" t="s">
        <v>274</v>
      </c>
      <c r="O6" s="19" t="s">
        <v>202</v>
      </c>
      <c r="R6" s="19" t="s">
        <v>289</v>
      </c>
      <c r="AE6" s="19" t="s">
        <v>203</v>
      </c>
      <c r="AH6" s="19" t="s">
        <v>204</v>
      </c>
      <c r="AU6" s="19" t="s">
        <v>204</v>
      </c>
      <c r="AX6" s="19" t="s">
        <v>276</v>
      </c>
      <c r="BK6" s="19" t="s">
        <v>205</v>
      </c>
      <c r="BN6" s="19" t="s">
        <v>206</v>
      </c>
      <c r="CA6" s="19" t="s">
        <v>206</v>
      </c>
      <c r="CD6" s="19" t="s">
        <v>207</v>
      </c>
      <c r="CQ6" s="19" t="s">
        <v>207</v>
      </c>
      <c r="CT6" s="19" t="s">
        <v>208</v>
      </c>
      <c r="DG6" s="19" t="s">
        <v>208</v>
      </c>
      <c r="DJ6" s="19" t="s">
        <v>277</v>
      </c>
      <c r="DW6" s="19" t="s">
        <v>209</v>
      </c>
      <c r="DZ6" s="19" t="s">
        <v>210</v>
      </c>
      <c r="EM6" s="19" t="s">
        <v>210</v>
      </c>
      <c r="EP6" s="19" t="s">
        <v>2</v>
      </c>
      <c r="FD6" s="19" t="s">
        <v>2</v>
      </c>
      <c r="FF6" s="19" t="s">
        <v>3</v>
      </c>
      <c r="FU6" s="19" t="s">
        <v>3</v>
      </c>
    </row>
    <row r="7" spans="2:177" ht="12">
      <c r="B7" s="5" t="s">
        <v>1</v>
      </c>
      <c r="C7" s="5" t="s">
        <v>1</v>
      </c>
      <c r="D7" s="5" t="s">
        <v>1</v>
      </c>
      <c r="E7" s="5" t="s">
        <v>1</v>
      </c>
      <c r="F7" s="5" t="s">
        <v>1</v>
      </c>
      <c r="G7" s="5" t="s">
        <v>1</v>
      </c>
      <c r="H7" s="5" t="s">
        <v>1</v>
      </c>
      <c r="I7" s="5" t="s">
        <v>1</v>
      </c>
      <c r="J7" s="5" t="s">
        <v>1</v>
      </c>
      <c r="K7" s="5" t="s">
        <v>1</v>
      </c>
      <c r="L7" s="5" t="s">
        <v>1</v>
      </c>
      <c r="M7" s="5" t="s">
        <v>1</v>
      </c>
      <c r="N7" s="5" t="s">
        <v>1</v>
      </c>
      <c r="O7" s="5" t="s">
        <v>1</v>
      </c>
      <c r="P7" s="5" t="s">
        <v>1</v>
      </c>
      <c r="Q7" s="1" t="s">
        <v>4</v>
      </c>
      <c r="R7" s="5" t="s">
        <v>1</v>
      </c>
      <c r="S7" s="5" t="s">
        <v>1</v>
      </c>
      <c r="T7" s="5" t="s">
        <v>1</v>
      </c>
      <c r="U7" s="5" t="s">
        <v>1</v>
      </c>
      <c r="V7" s="5" t="s">
        <v>1</v>
      </c>
      <c r="W7" s="5" t="s">
        <v>1</v>
      </c>
      <c r="X7" s="5" t="s">
        <v>1</v>
      </c>
      <c r="Y7" s="5" t="s">
        <v>1</v>
      </c>
      <c r="Z7" s="5" t="s">
        <v>1</v>
      </c>
      <c r="AA7" s="5" t="s">
        <v>1</v>
      </c>
      <c r="AB7" s="5" t="s">
        <v>1</v>
      </c>
      <c r="AC7" s="5" t="s">
        <v>1</v>
      </c>
      <c r="AD7" s="5" t="s">
        <v>1</v>
      </c>
      <c r="AE7" s="5" t="s">
        <v>1</v>
      </c>
      <c r="AF7" s="5" t="s">
        <v>1</v>
      </c>
      <c r="AG7" s="1" t="s">
        <v>4</v>
      </c>
      <c r="AH7" s="5" t="s">
        <v>1</v>
      </c>
      <c r="AI7" s="5" t="s">
        <v>1</v>
      </c>
      <c r="AJ7" s="5" t="s">
        <v>1</v>
      </c>
      <c r="AK7" s="5" t="s">
        <v>1</v>
      </c>
      <c r="AL7" s="5" t="s">
        <v>1</v>
      </c>
      <c r="AM7" s="5" t="s">
        <v>1</v>
      </c>
      <c r="AN7" s="5" t="s">
        <v>1</v>
      </c>
      <c r="AO7" s="5" t="s">
        <v>1</v>
      </c>
      <c r="AP7" s="5" t="s">
        <v>1</v>
      </c>
      <c r="AQ7" s="5" t="s">
        <v>1</v>
      </c>
      <c r="AR7" s="5" t="s">
        <v>1</v>
      </c>
      <c r="AS7" s="5" t="s">
        <v>1</v>
      </c>
      <c r="AT7" s="5" t="s">
        <v>1</v>
      </c>
      <c r="AU7" s="5" t="s">
        <v>1</v>
      </c>
      <c r="AV7" s="5" t="s">
        <v>1</v>
      </c>
      <c r="AW7" s="1" t="s">
        <v>4</v>
      </c>
      <c r="AX7" s="5" t="s">
        <v>1</v>
      </c>
      <c r="AY7" s="5" t="s">
        <v>1</v>
      </c>
      <c r="AZ7" s="5" t="s">
        <v>1</v>
      </c>
      <c r="BA7" s="5" t="s">
        <v>1</v>
      </c>
      <c r="BB7" s="5" t="s">
        <v>1</v>
      </c>
      <c r="BC7" s="5" t="s">
        <v>1</v>
      </c>
      <c r="BD7" s="5" t="s">
        <v>1</v>
      </c>
      <c r="BE7" s="5" t="s">
        <v>1</v>
      </c>
      <c r="BF7" s="5" t="s">
        <v>1</v>
      </c>
      <c r="BG7" s="5" t="s">
        <v>1</v>
      </c>
      <c r="BH7" s="5" t="s">
        <v>1</v>
      </c>
      <c r="BI7" s="5" t="s">
        <v>1</v>
      </c>
      <c r="BJ7" s="5" t="s">
        <v>1</v>
      </c>
      <c r="BK7" s="5" t="s">
        <v>1</v>
      </c>
      <c r="BL7" s="5" t="s">
        <v>1</v>
      </c>
      <c r="BM7" s="1" t="s">
        <v>4</v>
      </c>
      <c r="BN7" s="5" t="s">
        <v>1</v>
      </c>
      <c r="BO7" s="5" t="s">
        <v>1</v>
      </c>
      <c r="BP7" s="5" t="s">
        <v>1</v>
      </c>
      <c r="BQ7" s="5" t="s">
        <v>1</v>
      </c>
      <c r="BR7" s="5" t="s">
        <v>1</v>
      </c>
      <c r="BS7" s="5" t="s">
        <v>1</v>
      </c>
      <c r="BT7" s="5" t="s">
        <v>1</v>
      </c>
      <c r="BU7" s="5" t="s">
        <v>1</v>
      </c>
      <c r="BV7" s="5" t="s">
        <v>1</v>
      </c>
      <c r="BW7" s="5" t="s">
        <v>1</v>
      </c>
      <c r="BX7" s="5" t="s">
        <v>1</v>
      </c>
      <c r="BY7" s="5" t="s">
        <v>1</v>
      </c>
      <c r="BZ7" s="5" t="s">
        <v>1</v>
      </c>
      <c r="CA7" s="5" t="s">
        <v>1</v>
      </c>
      <c r="CB7" s="5" t="s">
        <v>1</v>
      </c>
      <c r="CC7" s="1" t="s">
        <v>4</v>
      </c>
      <c r="CD7" s="5" t="s">
        <v>1</v>
      </c>
      <c r="CE7" s="5" t="s">
        <v>1</v>
      </c>
      <c r="CF7" s="5" t="s">
        <v>1</v>
      </c>
      <c r="CG7" s="5" t="s">
        <v>1</v>
      </c>
      <c r="CH7" s="5" t="s">
        <v>1</v>
      </c>
      <c r="CI7" s="5" t="s">
        <v>1</v>
      </c>
      <c r="CJ7" s="5" t="s">
        <v>1</v>
      </c>
      <c r="CK7" s="5" t="s">
        <v>1</v>
      </c>
      <c r="CL7" s="5" t="s">
        <v>1</v>
      </c>
      <c r="CM7" s="5" t="s">
        <v>1</v>
      </c>
      <c r="CN7" s="5" t="s">
        <v>1</v>
      </c>
      <c r="CO7" s="5" t="s">
        <v>1</v>
      </c>
      <c r="CP7" s="5" t="s">
        <v>1</v>
      </c>
      <c r="CQ7" s="5" t="s">
        <v>1</v>
      </c>
      <c r="CR7" s="5" t="s">
        <v>1</v>
      </c>
      <c r="CS7" s="1" t="s">
        <v>4</v>
      </c>
      <c r="CT7" s="5" t="s">
        <v>1</v>
      </c>
      <c r="CU7" s="5" t="s">
        <v>1</v>
      </c>
      <c r="CV7" s="5" t="s">
        <v>1</v>
      </c>
      <c r="CW7" s="5" t="s">
        <v>1</v>
      </c>
      <c r="CX7" s="5" t="s">
        <v>1</v>
      </c>
      <c r="CY7" s="5" t="s">
        <v>1</v>
      </c>
      <c r="CZ7" s="5" t="s">
        <v>1</v>
      </c>
      <c r="DA7" s="5" t="s">
        <v>1</v>
      </c>
      <c r="DB7" s="5" t="s">
        <v>1</v>
      </c>
      <c r="DC7" s="5" t="s">
        <v>1</v>
      </c>
      <c r="DD7" s="5" t="s">
        <v>1</v>
      </c>
      <c r="DE7" s="5" t="s">
        <v>1</v>
      </c>
      <c r="DF7" s="5" t="s">
        <v>1</v>
      </c>
      <c r="DG7" s="5" t="s">
        <v>1</v>
      </c>
      <c r="DH7" s="5" t="s">
        <v>1</v>
      </c>
      <c r="DI7" s="1" t="s">
        <v>4</v>
      </c>
      <c r="DJ7" s="5" t="s">
        <v>1</v>
      </c>
      <c r="DK7" s="5" t="s">
        <v>1</v>
      </c>
      <c r="DL7" s="5" t="s">
        <v>1</v>
      </c>
      <c r="DM7" s="5" t="s">
        <v>1</v>
      </c>
      <c r="DN7" s="5" t="s">
        <v>1</v>
      </c>
      <c r="DO7" s="5" t="s">
        <v>1</v>
      </c>
      <c r="DP7" s="5" t="s">
        <v>1</v>
      </c>
      <c r="DQ7" s="5" t="s">
        <v>1</v>
      </c>
      <c r="DR7" s="5" t="s">
        <v>1</v>
      </c>
      <c r="DS7" s="5" t="s">
        <v>1</v>
      </c>
      <c r="DT7" s="5" t="s">
        <v>1</v>
      </c>
      <c r="DU7" s="5" t="s">
        <v>1</v>
      </c>
      <c r="DV7" s="5" t="s">
        <v>1</v>
      </c>
      <c r="DW7" s="5" t="s">
        <v>1</v>
      </c>
      <c r="DX7" s="5" t="s">
        <v>1</v>
      </c>
      <c r="DY7" s="1" t="s">
        <v>4</v>
      </c>
      <c r="DZ7" s="5" t="s">
        <v>1</v>
      </c>
      <c r="EA7" s="5" t="s">
        <v>1</v>
      </c>
      <c r="EB7" s="5" t="s">
        <v>1</v>
      </c>
      <c r="EC7" s="5" t="s">
        <v>1</v>
      </c>
      <c r="ED7" s="5" t="s">
        <v>1</v>
      </c>
      <c r="EE7" s="5" t="s">
        <v>1</v>
      </c>
      <c r="EF7" s="5" t="s">
        <v>1</v>
      </c>
      <c r="EG7" s="5" t="s">
        <v>1</v>
      </c>
      <c r="EH7" s="5" t="s">
        <v>1</v>
      </c>
      <c r="EI7" s="5" t="s">
        <v>1</v>
      </c>
      <c r="EJ7" s="5" t="s">
        <v>1</v>
      </c>
      <c r="EK7" s="5" t="s">
        <v>1</v>
      </c>
      <c r="EL7" s="5" t="s">
        <v>1</v>
      </c>
      <c r="EM7" s="5" t="s">
        <v>1</v>
      </c>
      <c r="EN7" s="5" t="s">
        <v>1</v>
      </c>
      <c r="EO7" s="1" t="s">
        <v>4</v>
      </c>
      <c r="EP7" s="5" t="s">
        <v>1</v>
      </c>
      <c r="EQ7" s="5" t="s">
        <v>1</v>
      </c>
      <c r="ER7" s="5" t="s">
        <v>1</v>
      </c>
      <c r="ES7" s="5" t="s">
        <v>1</v>
      </c>
      <c r="ET7" s="5" t="s">
        <v>1</v>
      </c>
      <c r="EU7" s="5" t="s">
        <v>1</v>
      </c>
      <c r="EV7" s="5" t="s">
        <v>1</v>
      </c>
      <c r="EW7" s="5" t="s">
        <v>1</v>
      </c>
      <c r="EX7" s="5" t="s">
        <v>1</v>
      </c>
      <c r="EY7" s="5" t="s">
        <v>1</v>
      </c>
      <c r="EZ7" s="5" t="s">
        <v>1</v>
      </c>
      <c r="FA7" s="5" t="s">
        <v>1</v>
      </c>
      <c r="FB7" s="5" t="s">
        <v>1</v>
      </c>
      <c r="FC7" s="5" t="s">
        <v>1</v>
      </c>
      <c r="FD7" s="5" t="s">
        <v>1</v>
      </c>
      <c r="FE7" s="1" t="s">
        <v>4</v>
      </c>
      <c r="FF7" s="5" t="s">
        <v>1</v>
      </c>
      <c r="FG7" s="5" t="s">
        <v>1</v>
      </c>
      <c r="FH7" s="5" t="s">
        <v>1</v>
      </c>
      <c r="FI7" s="5" t="s">
        <v>1</v>
      </c>
      <c r="FJ7" s="5" t="s">
        <v>1</v>
      </c>
      <c r="FK7" s="5" t="s">
        <v>1</v>
      </c>
      <c r="FL7" s="5" t="s">
        <v>1</v>
      </c>
      <c r="FM7" s="5" t="s">
        <v>1</v>
      </c>
      <c r="FN7" s="5" t="s">
        <v>1</v>
      </c>
      <c r="FO7" s="5" t="s">
        <v>1</v>
      </c>
      <c r="FP7" s="5" t="s">
        <v>1</v>
      </c>
      <c r="FQ7" s="5" t="s">
        <v>1</v>
      </c>
      <c r="FR7" s="5" t="s">
        <v>1</v>
      </c>
      <c r="FS7" s="5" t="s">
        <v>1</v>
      </c>
      <c r="FT7" s="5"/>
      <c r="FU7" s="5" t="s">
        <v>1</v>
      </c>
    </row>
    <row r="10" spans="2:173" ht="12">
      <c r="B10" s="1" t="s">
        <v>211</v>
      </c>
      <c r="D10" s="1" t="s">
        <v>212</v>
      </c>
      <c r="K10" s="1" t="s">
        <v>213</v>
      </c>
      <c r="M10" s="1" t="s">
        <v>58</v>
      </c>
      <c r="R10" s="1" t="s">
        <v>211</v>
      </c>
      <c r="T10" s="1" t="s">
        <v>212</v>
      </c>
      <c r="AA10" s="1" t="s">
        <v>213</v>
      </c>
      <c r="AC10" s="1" t="s">
        <v>58</v>
      </c>
      <c r="AH10" s="1" t="s">
        <v>211</v>
      </c>
      <c r="AJ10" s="1" t="s">
        <v>212</v>
      </c>
      <c r="AQ10" s="1" t="s">
        <v>213</v>
      </c>
      <c r="AS10" s="1" t="s">
        <v>58</v>
      </c>
      <c r="AX10" s="1" t="s">
        <v>211</v>
      </c>
      <c r="AZ10" s="1" t="s">
        <v>212</v>
      </c>
      <c r="BG10" s="1" t="s">
        <v>213</v>
      </c>
      <c r="BI10" s="1" t="s">
        <v>58</v>
      </c>
      <c r="BN10" s="1" t="s">
        <v>211</v>
      </c>
      <c r="BP10" s="1" t="s">
        <v>212</v>
      </c>
      <c r="BW10" s="1" t="s">
        <v>213</v>
      </c>
      <c r="BY10" s="1" t="s">
        <v>58</v>
      </c>
      <c r="CD10" s="1" t="s">
        <v>211</v>
      </c>
      <c r="CF10" s="1" t="s">
        <v>212</v>
      </c>
      <c r="CM10" s="1" t="s">
        <v>213</v>
      </c>
      <c r="CO10" s="1" t="s">
        <v>58</v>
      </c>
      <c r="CT10" s="1" t="s">
        <v>211</v>
      </c>
      <c r="CV10" s="1" t="s">
        <v>212</v>
      </c>
      <c r="DC10" s="1" t="s">
        <v>213</v>
      </c>
      <c r="DE10" s="1" t="s">
        <v>58</v>
      </c>
      <c r="DJ10" s="1" t="s">
        <v>211</v>
      </c>
      <c r="DL10" s="1" t="s">
        <v>212</v>
      </c>
      <c r="DS10" s="1" t="s">
        <v>213</v>
      </c>
      <c r="DU10" s="1" t="s">
        <v>58</v>
      </c>
      <c r="DZ10" s="1" t="s">
        <v>211</v>
      </c>
      <c r="EB10" s="1" t="s">
        <v>212</v>
      </c>
      <c r="EI10" s="1" t="s">
        <v>213</v>
      </c>
      <c r="EK10" s="1" t="s">
        <v>58</v>
      </c>
      <c r="EP10" s="1" t="s">
        <v>211</v>
      </c>
      <c r="ER10" s="1" t="s">
        <v>212</v>
      </c>
      <c r="EY10" s="1" t="s">
        <v>213</v>
      </c>
      <c r="FA10" s="1" t="s">
        <v>58</v>
      </c>
      <c r="FF10" s="1" t="s">
        <v>211</v>
      </c>
      <c r="FH10" s="1" t="s">
        <v>212</v>
      </c>
      <c r="FO10" s="1" t="s">
        <v>213</v>
      </c>
      <c r="FQ10" s="1" t="s">
        <v>58</v>
      </c>
    </row>
    <row r="11" spans="2:173" ht="12">
      <c r="B11" s="1" t="s">
        <v>214</v>
      </c>
      <c r="D11" s="1" t="s">
        <v>215</v>
      </c>
      <c r="G11" s="1" t="s">
        <v>216</v>
      </c>
      <c r="I11" s="1" t="s">
        <v>217</v>
      </c>
      <c r="K11" s="1" t="s">
        <v>218</v>
      </c>
      <c r="M11" s="1" t="s">
        <v>219</v>
      </c>
      <c r="R11" s="1" t="s">
        <v>214</v>
      </c>
      <c r="T11" s="1" t="s">
        <v>215</v>
      </c>
      <c r="W11" s="1" t="s">
        <v>216</v>
      </c>
      <c r="Y11" s="1" t="s">
        <v>217</v>
      </c>
      <c r="AA11" s="1" t="s">
        <v>218</v>
      </c>
      <c r="AC11" s="1" t="s">
        <v>219</v>
      </c>
      <c r="AH11" s="1" t="s">
        <v>214</v>
      </c>
      <c r="AJ11" s="1" t="s">
        <v>215</v>
      </c>
      <c r="AM11" s="1" t="s">
        <v>216</v>
      </c>
      <c r="AO11" s="1" t="s">
        <v>217</v>
      </c>
      <c r="AQ11" s="1" t="s">
        <v>218</v>
      </c>
      <c r="AS11" s="1" t="s">
        <v>219</v>
      </c>
      <c r="AX11" s="1" t="s">
        <v>214</v>
      </c>
      <c r="AZ11" s="1" t="s">
        <v>215</v>
      </c>
      <c r="BC11" s="1" t="s">
        <v>216</v>
      </c>
      <c r="BE11" s="1" t="s">
        <v>217</v>
      </c>
      <c r="BG11" s="1" t="s">
        <v>218</v>
      </c>
      <c r="BI11" s="1" t="s">
        <v>219</v>
      </c>
      <c r="BN11" s="1" t="s">
        <v>214</v>
      </c>
      <c r="BP11" s="1" t="s">
        <v>215</v>
      </c>
      <c r="BS11" s="1" t="s">
        <v>216</v>
      </c>
      <c r="BU11" s="1" t="s">
        <v>217</v>
      </c>
      <c r="BW11" s="1" t="s">
        <v>218</v>
      </c>
      <c r="BY11" s="1" t="s">
        <v>219</v>
      </c>
      <c r="CD11" s="1" t="s">
        <v>214</v>
      </c>
      <c r="CF11" s="1" t="s">
        <v>215</v>
      </c>
      <c r="CI11" s="1" t="s">
        <v>216</v>
      </c>
      <c r="CK11" s="1" t="s">
        <v>217</v>
      </c>
      <c r="CM11" s="1" t="s">
        <v>218</v>
      </c>
      <c r="CO11" s="1" t="s">
        <v>219</v>
      </c>
      <c r="CT11" s="1" t="s">
        <v>214</v>
      </c>
      <c r="CV11" s="1" t="s">
        <v>215</v>
      </c>
      <c r="CY11" s="1" t="s">
        <v>216</v>
      </c>
      <c r="DA11" s="1" t="s">
        <v>217</v>
      </c>
      <c r="DC11" s="1" t="s">
        <v>218</v>
      </c>
      <c r="DE11" s="1" t="s">
        <v>219</v>
      </c>
      <c r="DJ11" s="1" t="s">
        <v>214</v>
      </c>
      <c r="DL11" s="1" t="s">
        <v>215</v>
      </c>
      <c r="DO11" s="1" t="s">
        <v>216</v>
      </c>
      <c r="DQ11" s="1" t="s">
        <v>217</v>
      </c>
      <c r="DS11" s="1" t="s">
        <v>218</v>
      </c>
      <c r="DU11" s="1" t="s">
        <v>219</v>
      </c>
      <c r="DZ11" s="1" t="s">
        <v>214</v>
      </c>
      <c r="EB11" s="1" t="s">
        <v>215</v>
      </c>
      <c r="EE11" s="1" t="s">
        <v>216</v>
      </c>
      <c r="EG11" s="1" t="s">
        <v>217</v>
      </c>
      <c r="EI11" s="1" t="s">
        <v>218</v>
      </c>
      <c r="EK11" s="1" t="s">
        <v>219</v>
      </c>
      <c r="EP11" s="1" t="s">
        <v>214</v>
      </c>
      <c r="ER11" s="1" t="s">
        <v>215</v>
      </c>
      <c r="EU11" s="1" t="s">
        <v>216</v>
      </c>
      <c r="EW11" s="1" t="s">
        <v>217</v>
      </c>
      <c r="EY11" s="1" t="s">
        <v>218</v>
      </c>
      <c r="FA11" s="1" t="s">
        <v>219</v>
      </c>
      <c r="FF11" s="1" t="s">
        <v>214</v>
      </c>
      <c r="FH11" s="1" t="s">
        <v>215</v>
      </c>
      <c r="FK11" s="1" t="s">
        <v>216</v>
      </c>
      <c r="FM11" s="1" t="s">
        <v>217</v>
      </c>
      <c r="FO11" s="1" t="s">
        <v>218</v>
      </c>
      <c r="FQ11" s="1" t="s">
        <v>219</v>
      </c>
    </row>
    <row r="12" spans="2:173" ht="12">
      <c r="B12" s="1" t="s">
        <v>220</v>
      </c>
      <c r="D12" s="1" t="s">
        <v>221</v>
      </c>
      <c r="G12" s="1" t="s">
        <v>222</v>
      </c>
      <c r="I12" s="1" t="s">
        <v>223</v>
      </c>
      <c r="K12" s="1" t="s">
        <v>224</v>
      </c>
      <c r="M12" s="1" t="s">
        <v>225</v>
      </c>
      <c r="R12" s="1" t="s">
        <v>220</v>
      </c>
      <c r="T12" s="1" t="s">
        <v>221</v>
      </c>
      <c r="W12" s="1" t="s">
        <v>222</v>
      </c>
      <c r="Y12" s="1" t="s">
        <v>223</v>
      </c>
      <c r="AA12" s="1" t="s">
        <v>224</v>
      </c>
      <c r="AC12" s="1" t="s">
        <v>225</v>
      </c>
      <c r="AH12" s="1" t="s">
        <v>220</v>
      </c>
      <c r="AJ12" s="1" t="s">
        <v>221</v>
      </c>
      <c r="AM12" s="1" t="s">
        <v>222</v>
      </c>
      <c r="AO12" s="1" t="s">
        <v>223</v>
      </c>
      <c r="AQ12" s="1" t="s">
        <v>224</v>
      </c>
      <c r="AS12" s="1" t="s">
        <v>225</v>
      </c>
      <c r="AX12" s="1" t="s">
        <v>220</v>
      </c>
      <c r="AZ12" s="1" t="s">
        <v>221</v>
      </c>
      <c r="BC12" s="1" t="s">
        <v>222</v>
      </c>
      <c r="BE12" s="1" t="s">
        <v>223</v>
      </c>
      <c r="BG12" s="1" t="s">
        <v>224</v>
      </c>
      <c r="BI12" s="1" t="s">
        <v>225</v>
      </c>
      <c r="BN12" s="1" t="s">
        <v>220</v>
      </c>
      <c r="BP12" s="1" t="s">
        <v>221</v>
      </c>
      <c r="BS12" s="1" t="s">
        <v>222</v>
      </c>
      <c r="BU12" s="1" t="s">
        <v>223</v>
      </c>
      <c r="BW12" s="1" t="s">
        <v>224</v>
      </c>
      <c r="BY12" s="1" t="s">
        <v>225</v>
      </c>
      <c r="CD12" s="1" t="s">
        <v>220</v>
      </c>
      <c r="CF12" s="1" t="s">
        <v>221</v>
      </c>
      <c r="CI12" s="1" t="s">
        <v>222</v>
      </c>
      <c r="CK12" s="1" t="s">
        <v>223</v>
      </c>
      <c r="CM12" s="1" t="s">
        <v>224</v>
      </c>
      <c r="CO12" s="1" t="s">
        <v>225</v>
      </c>
      <c r="CT12" s="1" t="s">
        <v>220</v>
      </c>
      <c r="CV12" s="1" t="s">
        <v>221</v>
      </c>
      <c r="CY12" s="1" t="s">
        <v>222</v>
      </c>
      <c r="DA12" s="1" t="s">
        <v>223</v>
      </c>
      <c r="DC12" s="1" t="s">
        <v>224</v>
      </c>
      <c r="DE12" s="1" t="s">
        <v>225</v>
      </c>
      <c r="DJ12" s="1" t="s">
        <v>220</v>
      </c>
      <c r="DL12" s="1" t="s">
        <v>221</v>
      </c>
      <c r="DO12" s="1" t="s">
        <v>222</v>
      </c>
      <c r="DQ12" s="1" t="s">
        <v>223</v>
      </c>
      <c r="DS12" s="1" t="s">
        <v>224</v>
      </c>
      <c r="DU12" s="1" t="s">
        <v>225</v>
      </c>
      <c r="DZ12" s="1" t="s">
        <v>220</v>
      </c>
      <c r="EB12" s="1" t="s">
        <v>221</v>
      </c>
      <c r="EE12" s="1" t="s">
        <v>222</v>
      </c>
      <c r="EG12" s="1" t="s">
        <v>223</v>
      </c>
      <c r="EI12" s="1" t="s">
        <v>224</v>
      </c>
      <c r="EK12" s="1" t="s">
        <v>225</v>
      </c>
      <c r="EP12" s="1" t="s">
        <v>220</v>
      </c>
      <c r="ER12" s="1" t="s">
        <v>221</v>
      </c>
      <c r="EU12" s="1" t="s">
        <v>222</v>
      </c>
      <c r="EW12" s="1" t="s">
        <v>223</v>
      </c>
      <c r="EY12" s="1" t="s">
        <v>224</v>
      </c>
      <c r="FA12" s="1" t="s">
        <v>225</v>
      </c>
      <c r="FF12" s="1" t="s">
        <v>220</v>
      </c>
      <c r="FH12" s="1" t="s">
        <v>221</v>
      </c>
      <c r="FK12" s="1" t="s">
        <v>222</v>
      </c>
      <c r="FM12" s="1" t="s">
        <v>223</v>
      </c>
      <c r="FO12" s="1" t="s">
        <v>224</v>
      </c>
      <c r="FQ12" s="1" t="s">
        <v>225</v>
      </c>
    </row>
    <row r="13" spans="2:177" ht="12">
      <c r="B13" s="1" t="s">
        <v>226</v>
      </c>
      <c r="D13" s="1" t="s">
        <v>227</v>
      </c>
      <c r="G13" s="1" t="s">
        <v>228</v>
      </c>
      <c r="I13" s="1" t="s">
        <v>229</v>
      </c>
      <c r="K13" s="1" t="s">
        <v>230</v>
      </c>
      <c r="M13" s="5" t="s">
        <v>1</v>
      </c>
      <c r="N13" s="5" t="s">
        <v>1</v>
      </c>
      <c r="O13" s="5" t="s">
        <v>1</v>
      </c>
      <c r="P13" s="5" t="s">
        <v>1</v>
      </c>
      <c r="Q13" s="1" t="s">
        <v>4</v>
      </c>
      <c r="R13" s="1" t="s">
        <v>226</v>
      </c>
      <c r="T13" s="1" t="s">
        <v>227</v>
      </c>
      <c r="W13" s="1" t="s">
        <v>228</v>
      </c>
      <c r="Y13" s="1" t="s">
        <v>229</v>
      </c>
      <c r="AA13" s="1" t="s">
        <v>230</v>
      </c>
      <c r="AC13" s="5" t="s">
        <v>1</v>
      </c>
      <c r="AD13" s="5" t="s">
        <v>1</v>
      </c>
      <c r="AE13" s="5" t="s">
        <v>1</v>
      </c>
      <c r="AF13" s="5" t="s">
        <v>1</v>
      </c>
      <c r="AG13" s="1" t="s">
        <v>4</v>
      </c>
      <c r="AH13" s="1" t="s">
        <v>226</v>
      </c>
      <c r="AJ13" s="1" t="s">
        <v>227</v>
      </c>
      <c r="AM13" s="1" t="s">
        <v>228</v>
      </c>
      <c r="AO13" s="1" t="s">
        <v>229</v>
      </c>
      <c r="AQ13" s="1" t="s">
        <v>230</v>
      </c>
      <c r="AS13" s="5" t="s">
        <v>1</v>
      </c>
      <c r="AT13" s="5" t="s">
        <v>1</v>
      </c>
      <c r="AU13" s="5" t="s">
        <v>1</v>
      </c>
      <c r="AV13" s="5" t="s">
        <v>1</v>
      </c>
      <c r="AW13" s="1" t="s">
        <v>4</v>
      </c>
      <c r="AX13" s="1" t="s">
        <v>226</v>
      </c>
      <c r="AZ13" s="1" t="s">
        <v>227</v>
      </c>
      <c r="BC13" s="1" t="s">
        <v>228</v>
      </c>
      <c r="BE13" s="1" t="s">
        <v>229</v>
      </c>
      <c r="BG13" s="1" t="s">
        <v>230</v>
      </c>
      <c r="BI13" s="5" t="s">
        <v>1</v>
      </c>
      <c r="BJ13" s="5" t="s">
        <v>1</v>
      </c>
      <c r="BK13" s="5" t="s">
        <v>1</v>
      </c>
      <c r="BL13" s="5" t="s">
        <v>1</v>
      </c>
      <c r="BM13" s="1" t="s">
        <v>4</v>
      </c>
      <c r="BN13" s="1" t="s">
        <v>226</v>
      </c>
      <c r="BP13" s="1" t="s">
        <v>227</v>
      </c>
      <c r="BS13" s="1" t="s">
        <v>228</v>
      </c>
      <c r="BU13" s="1" t="s">
        <v>229</v>
      </c>
      <c r="BW13" s="1" t="s">
        <v>230</v>
      </c>
      <c r="BY13" s="5" t="s">
        <v>1</v>
      </c>
      <c r="BZ13" s="5" t="s">
        <v>1</v>
      </c>
      <c r="CA13" s="5" t="s">
        <v>1</v>
      </c>
      <c r="CB13" s="5" t="s">
        <v>1</v>
      </c>
      <c r="CC13" s="1" t="s">
        <v>4</v>
      </c>
      <c r="CD13" s="1" t="s">
        <v>226</v>
      </c>
      <c r="CF13" s="1" t="s">
        <v>227</v>
      </c>
      <c r="CI13" s="1" t="s">
        <v>228</v>
      </c>
      <c r="CK13" s="1" t="s">
        <v>229</v>
      </c>
      <c r="CM13" s="1" t="s">
        <v>230</v>
      </c>
      <c r="CO13" s="5" t="s">
        <v>1</v>
      </c>
      <c r="CP13" s="5" t="s">
        <v>1</v>
      </c>
      <c r="CQ13" s="5" t="s">
        <v>1</v>
      </c>
      <c r="CR13" s="5" t="s">
        <v>1</v>
      </c>
      <c r="CS13" s="1" t="s">
        <v>4</v>
      </c>
      <c r="CT13" s="1" t="s">
        <v>226</v>
      </c>
      <c r="CV13" s="1" t="s">
        <v>227</v>
      </c>
      <c r="CY13" s="1" t="s">
        <v>228</v>
      </c>
      <c r="DA13" s="1" t="s">
        <v>229</v>
      </c>
      <c r="DC13" s="1" t="s">
        <v>230</v>
      </c>
      <c r="DE13" s="5" t="s">
        <v>1</v>
      </c>
      <c r="DF13" s="5" t="s">
        <v>1</v>
      </c>
      <c r="DG13" s="5" t="s">
        <v>1</v>
      </c>
      <c r="DH13" s="5" t="s">
        <v>1</v>
      </c>
      <c r="DI13" s="1" t="s">
        <v>4</v>
      </c>
      <c r="DJ13" s="1" t="s">
        <v>226</v>
      </c>
      <c r="DL13" s="1" t="s">
        <v>227</v>
      </c>
      <c r="DO13" s="1" t="s">
        <v>228</v>
      </c>
      <c r="DQ13" s="1" t="s">
        <v>229</v>
      </c>
      <c r="DS13" s="1" t="s">
        <v>230</v>
      </c>
      <c r="DU13" s="5" t="s">
        <v>1</v>
      </c>
      <c r="DV13" s="5" t="s">
        <v>1</v>
      </c>
      <c r="DW13" s="5" t="s">
        <v>1</v>
      </c>
      <c r="DX13" s="5" t="s">
        <v>1</v>
      </c>
      <c r="DY13" s="1" t="s">
        <v>4</v>
      </c>
      <c r="DZ13" s="1" t="s">
        <v>226</v>
      </c>
      <c r="EB13" s="1" t="s">
        <v>227</v>
      </c>
      <c r="EE13" s="1" t="s">
        <v>228</v>
      </c>
      <c r="EG13" s="1" t="s">
        <v>229</v>
      </c>
      <c r="EI13" s="1" t="s">
        <v>230</v>
      </c>
      <c r="EK13" s="5" t="s">
        <v>1</v>
      </c>
      <c r="EL13" s="5" t="s">
        <v>1</v>
      </c>
      <c r="EM13" s="5" t="s">
        <v>1</v>
      </c>
      <c r="EN13" s="5" t="s">
        <v>1</v>
      </c>
      <c r="EO13" s="1" t="s">
        <v>4</v>
      </c>
      <c r="EP13" s="1" t="s">
        <v>226</v>
      </c>
      <c r="ER13" s="1" t="s">
        <v>227</v>
      </c>
      <c r="EU13" s="1" t="s">
        <v>228</v>
      </c>
      <c r="EW13" s="1" t="s">
        <v>229</v>
      </c>
      <c r="EY13" s="1" t="s">
        <v>230</v>
      </c>
      <c r="FA13" s="5" t="s">
        <v>1</v>
      </c>
      <c r="FB13" s="5" t="s">
        <v>1</v>
      </c>
      <c r="FC13" s="5" t="s">
        <v>1</v>
      </c>
      <c r="FD13" s="5" t="s">
        <v>1</v>
      </c>
      <c r="FE13" s="1" t="s">
        <v>4</v>
      </c>
      <c r="FF13" s="1" t="s">
        <v>226</v>
      </c>
      <c r="FH13" s="1" t="s">
        <v>227</v>
      </c>
      <c r="FK13" s="1" t="s">
        <v>228</v>
      </c>
      <c r="FM13" s="1" t="s">
        <v>229</v>
      </c>
      <c r="FO13" s="1" t="s">
        <v>230</v>
      </c>
      <c r="FQ13" s="5" t="s">
        <v>1</v>
      </c>
      <c r="FR13" s="5" t="s">
        <v>1</v>
      </c>
      <c r="FS13" s="5" t="s">
        <v>1</v>
      </c>
      <c r="FT13" s="5" t="s">
        <v>1</v>
      </c>
      <c r="FU13" s="1" t="s">
        <v>4</v>
      </c>
    </row>
    <row r="14" spans="2:177" ht="12">
      <c r="B14" s="5" t="s">
        <v>1</v>
      </c>
      <c r="C14" s="1" t="s">
        <v>231</v>
      </c>
      <c r="D14" s="5" t="s">
        <v>1</v>
      </c>
      <c r="E14" s="5" t="s">
        <v>1</v>
      </c>
      <c r="F14" s="1" t="s">
        <v>4</v>
      </c>
      <c r="G14" s="5" t="s">
        <v>1</v>
      </c>
      <c r="H14" s="1" t="s">
        <v>232</v>
      </c>
      <c r="I14" s="5" t="s">
        <v>1</v>
      </c>
      <c r="J14" s="1" t="s">
        <v>231</v>
      </c>
      <c r="K14" s="5" t="s">
        <v>1</v>
      </c>
      <c r="L14" s="1" t="s">
        <v>232</v>
      </c>
      <c r="Q14" s="1" t="s">
        <v>16</v>
      </c>
      <c r="R14" s="5" t="s">
        <v>1</v>
      </c>
      <c r="S14" s="1" t="s">
        <v>231</v>
      </c>
      <c r="T14" s="5" t="s">
        <v>1</v>
      </c>
      <c r="U14" s="5" t="s">
        <v>1</v>
      </c>
      <c r="V14" s="1" t="s">
        <v>4</v>
      </c>
      <c r="W14" s="5" t="s">
        <v>1</v>
      </c>
      <c r="X14" s="1" t="s">
        <v>232</v>
      </c>
      <c r="Y14" s="5" t="s">
        <v>1</v>
      </c>
      <c r="Z14" s="1" t="s">
        <v>231</v>
      </c>
      <c r="AA14" s="5" t="s">
        <v>1</v>
      </c>
      <c r="AB14" s="1" t="s">
        <v>232</v>
      </c>
      <c r="AG14" s="1" t="s">
        <v>16</v>
      </c>
      <c r="AH14" s="5" t="s">
        <v>1</v>
      </c>
      <c r="AI14" s="1" t="s">
        <v>231</v>
      </c>
      <c r="AJ14" s="5" t="s">
        <v>1</v>
      </c>
      <c r="AK14" s="5" t="s">
        <v>1</v>
      </c>
      <c r="AL14" s="1" t="s">
        <v>4</v>
      </c>
      <c r="AM14" s="5" t="s">
        <v>1</v>
      </c>
      <c r="AN14" s="1" t="s">
        <v>232</v>
      </c>
      <c r="AO14" s="5" t="s">
        <v>1</v>
      </c>
      <c r="AP14" s="1" t="s">
        <v>231</v>
      </c>
      <c r="AQ14" s="5" t="s">
        <v>1</v>
      </c>
      <c r="AR14" s="1" t="s">
        <v>232</v>
      </c>
      <c r="AW14" s="1" t="s">
        <v>16</v>
      </c>
      <c r="AX14" s="5" t="s">
        <v>1</v>
      </c>
      <c r="AY14" s="1" t="s">
        <v>231</v>
      </c>
      <c r="AZ14" s="5" t="s">
        <v>1</v>
      </c>
      <c r="BA14" s="5" t="s">
        <v>1</v>
      </c>
      <c r="BB14" s="1" t="s">
        <v>4</v>
      </c>
      <c r="BC14" s="5" t="s">
        <v>1</v>
      </c>
      <c r="BD14" s="1" t="s">
        <v>232</v>
      </c>
      <c r="BE14" s="5" t="s">
        <v>1</v>
      </c>
      <c r="BF14" s="1" t="s">
        <v>231</v>
      </c>
      <c r="BG14" s="5" t="s">
        <v>1</v>
      </c>
      <c r="BH14" s="1" t="s">
        <v>232</v>
      </c>
      <c r="BM14" s="1" t="s">
        <v>16</v>
      </c>
      <c r="BN14" s="5" t="s">
        <v>1</v>
      </c>
      <c r="BO14" s="1" t="s">
        <v>231</v>
      </c>
      <c r="BP14" s="5" t="s">
        <v>1</v>
      </c>
      <c r="BQ14" s="5" t="s">
        <v>1</v>
      </c>
      <c r="BR14" s="1" t="s">
        <v>4</v>
      </c>
      <c r="BS14" s="5" t="s">
        <v>1</v>
      </c>
      <c r="BT14" s="1" t="s">
        <v>232</v>
      </c>
      <c r="BU14" s="5" t="s">
        <v>1</v>
      </c>
      <c r="BV14" s="1" t="s">
        <v>231</v>
      </c>
      <c r="BW14" s="5" t="s">
        <v>1</v>
      </c>
      <c r="BX14" s="1" t="s">
        <v>232</v>
      </c>
      <c r="CC14" s="1" t="s">
        <v>16</v>
      </c>
      <c r="CD14" s="5" t="s">
        <v>1</v>
      </c>
      <c r="CE14" s="1" t="s">
        <v>231</v>
      </c>
      <c r="CF14" s="5" t="s">
        <v>1</v>
      </c>
      <c r="CG14" s="5" t="s">
        <v>1</v>
      </c>
      <c r="CH14" s="1" t="s">
        <v>4</v>
      </c>
      <c r="CI14" s="5" t="s">
        <v>1</v>
      </c>
      <c r="CJ14" s="1" t="s">
        <v>232</v>
      </c>
      <c r="CK14" s="5" t="s">
        <v>1</v>
      </c>
      <c r="CL14" s="1" t="s">
        <v>231</v>
      </c>
      <c r="CM14" s="5" t="s">
        <v>1</v>
      </c>
      <c r="CN14" s="1" t="s">
        <v>232</v>
      </c>
      <c r="CS14" s="1" t="s">
        <v>16</v>
      </c>
      <c r="CT14" s="5" t="s">
        <v>1</v>
      </c>
      <c r="CU14" s="1" t="s">
        <v>231</v>
      </c>
      <c r="CV14" s="5" t="s">
        <v>1</v>
      </c>
      <c r="CW14" s="5" t="s">
        <v>1</v>
      </c>
      <c r="CX14" s="1" t="s">
        <v>4</v>
      </c>
      <c r="CY14" s="5" t="s">
        <v>1</v>
      </c>
      <c r="CZ14" s="1" t="s">
        <v>232</v>
      </c>
      <c r="DA14" s="5" t="s">
        <v>1</v>
      </c>
      <c r="DB14" s="1" t="s">
        <v>231</v>
      </c>
      <c r="DC14" s="5" t="s">
        <v>1</v>
      </c>
      <c r="DD14" s="1" t="s">
        <v>232</v>
      </c>
      <c r="DI14" s="1" t="s">
        <v>16</v>
      </c>
      <c r="DJ14" s="5" t="s">
        <v>1</v>
      </c>
      <c r="DK14" s="1" t="s">
        <v>231</v>
      </c>
      <c r="DL14" s="5" t="s">
        <v>1</v>
      </c>
      <c r="DM14" s="5" t="s">
        <v>1</v>
      </c>
      <c r="DN14" s="1" t="s">
        <v>4</v>
      </c>
      <c r="DO14" s="5" t="s">
        <v>1</v>
      </c>
      <c r="DP14" s="1" t="s">
        <v>232</v>
      </c>
      <c r="DQ14" s="5" t="s">
        <v>1</v>
      </c>
      <c r="DR14" s="1" t="s">
        <v>231</v>
      </c>
      <c r="DS14" s="5" t="s">
        <v>1</v>
      </c>
      <c r="DT14" s="1" t="s">
        <v>232</v>
      </c>
      <c r="DY14" s="1" t="s">
        <v>16</v>
      </c>
      <c r="DZ14" s="5" t="s">
        <v>1</v>
      </c>
      <c r="EA14" s="1" t="s">
        <v>231</v>
      </c>
      <c r="EB14" s="5" t="s">
        <v>1</v>
      </c>
      <c r="EC14" s="5" t="s">
        <v>1</v>
      </c>
      <c r="ED14" s="1" t="s">
        <v>4</v>
      </c>
      <c r="EE14" s="5" t="s">
        <v>1</v>
      </c>
      <c r="EF14" s="1" t="s">
        <v>232</v>
      </c>
      <c r="EG14" s="5" t="s">
        <v>1</v>
      </c>
      <c r="EH14" s="1" t="s">
        <v>231</v>
      </c>
      <c r="EI14" s="5" t="s">
        <v>1</v>
      </c>
      <c r="EJ14" s="1" t="s">
        <v>232</v>
      </c>
      <c r="EO14" s="1" t="s">
        <v>16</v>
      </c>
      <c r="EP14" s="5" t="s">
        <v>1</v>
      </c>
      <c r="EQ14" s="1" t="s">
        <v>231</v>
      </c>
      <c r="ER14" s="5" t="s">
        <v>1</v>
      </c>
      <c r="ES14" s="5" t="s">
        <v>1</v>
      </c>
      <c r="ET14" s="1" t="s">
        <v>4</v>
      </c>
      <c r="EU14" s="5" t="s">
        <v>1</v>
      </c>
      <c r="EV14" s="1" t="s">
        <v>232</v>
      </c>
      <c r="EW14" s="5" t="s">
        <v>1</v>
      </c>
      <c r="EX14" s="1" t="s">
        <v>231</v>
      </c>
      <c r="EY14" s="5" t="s">
        <v>1</v>
      </c>
      <c r="EZ14" s="1" t="s">
        <v>232</v>
      </c>
      <c r="FE14" s="1" t="s">
        <v>16</v>
      </c>
      <c r="FF14" s="5" t="s">
        <v>1</v>
      </c>
      <c r="FG14" s="1" t="s">
        <v>231</v>
      </c>
      <c r="FH14" s="5" t="s">
        <v>1</v>
      </c>
      <c r="FI14" s="5" t="s">
        <v>1</v>
      </c>
      <c r="FJ14" s="1" t="s">
        <v>4</v>
      </c>
      <c r="FK14" s="5" t="s">
        <v>1</v>
      </c>
      <c r="FL14" s="1" t="s">
        <v>232</v>
      </c>
      <c r="FM14" s="5" t="s">
        <v>1</v>
      </c>
      <c r="FN14" s="1" t="s">
        <v>231</v>
      </c>
      <c r="FO14" s="5" t="s">
        <v>1</v>
      </c>
      <c r="FP14" s="1" t="s">
        <v>232</v>
      </c>
      <c r="FU14" s="1" t="s">
        <v>16</v>
      </c>
    </row>
    <row r="15" spans="1:177" ht="12">
      <c r="A15" s="1" t="s">
        <v>17</v>
      </c>
      <c r="B15" s="1" t="s">
        <v>18</v>
      </c>
      <c r="D15" s="1" t="s">
        <v>18</v>
      </c>
      <c r="G15" s="1" t="s">
        <v>18</v>
      </c>
      <c r="I15" s="1" t="s">
        <v>18</v>
      </c>
      <c r="K15" s="1" t="s">
        <v>18</v>
      </c>
      <c r="M15" s="1" t="s">
        <v>20</v>
      </c>
      <c r="O15" s="1" t="s">
        <v>233</v>
      </c>
      <c r="Q15" s="1" t="s">
        <v>22</v>
      </c>
      <c r="R15" s="1" t="s">
        <v>18</v>
      </c>
      <c r="T15" s="1" t="s">
        <v>18</v>
      </c>
      <c r="W15" s="1" t="s">
        <v>18</v>
      </c>
      <c r="Y15" s="1" t="s">
        <v>18</v>
      </c>
      <c r="AA15" s="1" t="s">
        <v>18</v>
      </c>
      <c r="AC15" s="1" t="s">
        <v>20</v>
      </c>
      <c r="AE15" s="1" t="s">
        <v>233</v>
      </c>
      <c r="AG15" s="1" t="s">
        <v>22</v>
      </c>
      <c r="AH15" s="1" t="s">
        <v>18</v>
      </c>
      <c r="AJ15" s="1" t="s">
        <v>18</v>
      </c>
      <c r="AM15" s="1" t="s">
        <v>18</v>
      </c>
      <c r="AO15" s="1" t="s">
        <v>18</v>
      </c>
      <c r="AQ15" s="1" t="s">
        <v>18</v>
      </c>
      <c r="AS15" s="1" t="s">
        <v>20</v>
      </c>
      <c r="AU15" s="1" t="s">
        <v>233</v>
      </c>
      <c r="AW15" s="1" t="s">
        <v>22</v>
      </c>
      <c r="AX15" s="1" t="s">
        <v>18</v>
      </c>
      <c r="AZ15" s="1" t="s">
        <v>18</v>
      </c>
      <c r="BC15" s="1" t="s">
        <v>18</v>
      </c>
      <c r="BE15" s="1" t="s">
        <v>18</v>
      </c>
      <c r="BG15" s="1" t="s">
        <v>18</v>
      </c>
      <c r="BI15" s="1" t="s">
        <v>20</v>
      </c>
      <c r="BK15" s="1" t="s">
        <v>233</v>
      </c>
      <c r="BM15" s="1" t="s">
        <v>22</v>
      </c>
      <c r="BN15" s="1" t="s">
        <v>18</v>
      </c>
      <c r="BP15" s="1" t="s">
        <v>18</v>
      </c>
      <c r="BS15" s="1" t="s">
        <v>18</v>
      </c>
      <c r="BU15" s="1" t="s">
        <v>18</v>
      </c>
      <c r="BW15" s="1" t="s">
        <v>18</v>
      </c>
      <c r="BY15" s="1" t="s">
        <v>20</v>
      </c>
      <c r="CA15" s="1" t="s">
        <v>233</v>
      </c>
      <c r="CC15" s="1" t="s">
        <v>22</v>
      </c>
      <c r="CD15" s="1" t="s">
        <v>18</v>
      </c>
      <c r="CF15" s="1" t="s">
        <v>18</v>
      </c>
      <c r="CI15" s="1" t="s">
        <v>18</v>
      </c>
      <c r="CK15" s="1" t="s">
        <v>18</v>
      </c>
      <c r="CM15" s="1" t="s">
        <v>18</v>
      </c>
      <c r="CO15" s="1" t="s">
        <v>20</v>
      </c>
      <c r="CQ15" s="1" t="s">
        <v>233</v>
      </c>
      <c r="CS15" s="1" t="s">
        <v>22</v>
      </c>
      <c r="CT15" s="1" t="s">
        <v>18</v>
      </c>
      <c r="CV15" s="1" t="s">
        <v>18</v>
      </c>
      <c r="CY15" s="1" t="s">
        <v>18</v>
      </c>
      <c r="DA15" s="1" t="s">
        <v>18</v>
      </c>
      <c r="DC15" s="1" t="s">
        <v>18</v>
      </c>
      <c r="DE15" s="1" t="s">
        <v>20</v>
      </c>
      <c r="DG15" s="1" t="s">
        <v>233</v>
      </c>
      <c r="DI15" s="1" t="s">
        <v>22</v>
      </c>
      <c r="DJ15" s="1" t="s">
        <v>18</v>
      </c>
      <c r="DL15" s="1" t="s">
        <v>18</v>
      </c>
      <c r="DO15" s="1" t="s">
        <v>18</v>
      </c>
      <c r="DQ15" s="1" t="s">
        <v>18</v>
      </c>
      <c r="DS15" s="1" t="s">
        <v>18</v>
      </c>
      <c r="DU15" s="1" t="s">
        <v>20</v>
      </c>
      <c r="DW15" s="1" t="s">
        <v>233</v>
      </c>
      <c r="DY15" s="1" t="s">
        <v>22</v>
      </c>
      <c r="DZ15" s="1" t="s">
        <v>18</v>
      </c>
      <c r="EB15" s="1" t="s">
        <v>18</v>
      </c>
      <c r="EE15" s="1" t="s">
        <v>18</v>
      </c>
      <c r="EG15" s="1" t="s">
        <v>18</v>
      </c>
      <c r="EI15" s="1" t="s">
        <v>18</v>
      </c>
      <c r="EK15" s="1" t="s">
        <v>20</v>
      </c>
      <c r="EM15" s="1" t="s">
        <v>233</v>
      </c>
      <c r="EO15" s="1" t="s">
        <v>22</v>
      </c>
      <c r="EP15" s="1" t="s">
        <v>18</v>
      </c>
      <c r="ER15" s="1" t="s">
        <v>18</v>
      </c>
      <c r="EU15" s="1" t="s">
        <v>18</v>
      </c>
      <c r="EW15" s="1" t="s">
        <v>18</v>
      </c>
      <c r="EY15" s="1" t="s">
        <v>18</v>
      </c>
      <c r="FA15" s="1" t="s">
        <v>20</v>
      </c>
      <c r="FC15" s="1" t="s">
        <v>233</v>
      </c>
      <c r="FE15" s="1" t="s">
        <v>22</v>
      </c>
      <c r="FF15" s="1" t="s">
        <v>18</v>
      </c>
      <c r="FH15" s="1" t="s">
        <v>18</v>
      </c>
      <c r="FK15" s="1" t="s">
        <v>18</v>
      </c>
      <c r="FM15" s="1" t="s">
        <v>18</v>
      </c>
      <c r="FO15" s="1" t="s">
        <v>18</v>
      </c>
      <c r="FQ15" s="1" t="s">
        <v>20</v>
      </c>
      <c r="FS15" s="1" t="s">
        <v>233</v>
      </c>
      <c r="FU15" s="1" t="s">
        <v>22</v>
      </c>
    </row>
    <row r="16" spans="1:177" ht="12">
      <c r="A16" s="1" t="s">
        <v>23</v>
      </c>
      <c r="B16" s="6" t="s">
        <v>24</v>
      </c>
      <c r="C16" s="1" t="s">
        <v>25</v>
      </c>
      <c r="D16" s="6" t="s">
        <v>24</v>
      </c>
      <c r="E16" s="1" t="s">
        <v>25</v>
      </c>
      <c r="F16" s="6" t="s">
        <v>234</v>
      </c>
      <c r="G16" s="6" t="s">
        <v>24</v>
      </c>
      <c r="H16" s="1" t="s">
        <v>25</v>
      </c>
      <c r="I16" s="6" t="s">
        <v>24</v>
      </c>
      <c r="J16" s="1" t="s">
        <v>25</v>
      </c>
      <c r="K16" s="6" t="s">
        <v>24</v>
      </c>
      <c r="L16" s="1" t="s">
        <v>25</v>
      </c>
      <c r="M16" s="1" t="s">
        <v>27</v>
      </c>
      <c r="N16" s="1" t="s">
        <v>28</v>
      </c>
      <c r="O16" s="1" t="s">
        <v>235</v>
      </c>
      <c r="P16" s="1" t="s">
        <v>18</v>
      </c>
      <c r="Q16" s="1" t="s">
        <v>30</v>
      </c>
      <c r="R16" s="6" t="s">
        <v>24</v>
      </c>
      <c r="S16" s="1" t="s">
        <v>25</v>
      </c>
      <c r="T16" s="6" t="s">
        <v>24</v>
      </c>
      <c r="U16" s="1" t="s">
        <v>25</v>
      </c>
      <c r="V16" s="6" t="s">
        <v>234</v>
      </c>
      <c r="W16" s="6" t="s">
        <v>24</v>
      </c>
      <c r="X16" s="1" t="s">
        <v>25</v>
      </c>
      <c r="Y16" s="6" t="s">
        <v>24</v>
      </c>
      <c r="Z16" s="1" t="s">
        <v>25</v>
      </c>
      <c r="AA16" s="6" t="s">
        <v>24</v>
      </c>
      <c r="AB16" s="1" t="s">
        <v>25</v>
      </c>
      <c r="AC16" s="1" t="s">
        <v>27</v>
      </c>
      <c r="AD16" s="1" t="s">
        <v>28</v>
      </c>
      <c r="AE16" s="1" t="s">
        <v>235</v>
      </c>
      <c r="AF16" s="1" t="s">
        <v>18</v>
      </c>
      <c r="AG16" s="1" t="s">
        <v>30</v>
      </c>
      <c r="AH16" s="6" t="s">
        <v>24</v>
      </c>
      <c r="AI16" s="1" t="s">
        <v>25</v>
      </c>
      <c r="AJ16" s="6" t="s">
        <v>24</v>
      </c>
      <c r="AK16" s="1" t="s">
        <v>25</v>
      </c>
      <c r="AL16" s="6" t="s">
        <v>234</v>
      </c>
      <c r="AM16" s="6" t="s">
        <v>24</v>
      </c>
      <c r="AN16" s="1" t="s">
        <v>25</v>
      </c>
      <c r="AO16" s="6" t="s">
        <v>24</v>
      </c>
      <c r="AP16" s="1" t="s">
        <v>25</v>
      </c>
      <c r="AQ16" s="6" t="s">
        <v>24</v>
      </c>
      <c r="AR16" s="1" t="s">
        <v>25</v>
      </c>
      <c r="AS16" s="1" t="s">
        <v>27</v>
      </c>
      <c r="AT16" s="1" t="s">
        <v>28</v>
      </c>
      <c r="AU16" s="1" t="s">
        <v>235</v>
      </c>
      <c r="AV16" s="1" t="s">
        <v>18</v>
      </c>
      <c r="AW16" s="1" t="s">
        <v>30</v>
      </c>
      <c r="AX16" s="6" t="s">
        <v>24</v>
      </c>
      <c r="AY16" s="1" t="s">
        <v>25</v>
      </c>
      <c r="AZ16" s="6" t="s">
        <v>24</v>
      </c>
      <c r="BA16" s="1" t="s">
        <v>25</v>
      </c>
      <c r="BB16" s="6" t="s">
        <v>234</v>
      </c>
      <c r="BC16" s="6" t="s">
        <v>24</v>
      </c>
      <c r="BD16" s="1" t="s">
        <v>25</v>
      </c>
      <c r="BE16" s="6" t="s">
        <v>24</v>
      </c>
      <c r="BF16" s="1" t="s">
        <v>25</v>
      </c>
      <c r="BG16" s="6" t="s">
        <v>24</v>
      </c>
      <c r="BH16" s="1" t="s">
        <v>25</v>
      </c>
      <c r="BI16" s="1" t="s">
        <v>27</v>
      </c>
      <c r="BJ16" s="1" t="s">
        <v>28</v>
      </c>
      <c r="BK16" s="1" t="s">
        <v>235</v>
      </c>
      <c r="BL16" s="1" t="s">
        <v>18</v>
      </c>
      <c r="BM16" s="1" t="s">
        <v>30</v>
      </c>
      <c r="BN16" s="6" t="s">
        <v>24</v>
      </c>
      <c r="BO16" s="1" t="s">
        <v>25</v>
      </c>
      <c r="BP16" s="6" t="s">
        <v>24</v>
      </c>
      <c r="BQ16" s="1" t="s">
        <v>25</v>
      </c>
      <c r="BR16" s="6" t="s">
        <v>234</v>
      </c>
      <c r="BS16" s="6" t="s">
        <v>24</v>
      </c>
      <c r="BT16" s="1" t="s">
        <v>25</v>
      </c>
      <c r="BU16" s="6" t="s">
        <v>24</v>
      </c>
      <c r="BV16" s="1" t="s">
        <v>25</v>
      </c>
      <c r="BW16" s="6" t="s">
        <v>24</v>
      </c>
      <c r="BX16" s="1" t="s">
        <v>25</v>
      </c>
      <c r="BY16" s="1" t="s">
        <v>27</v>
      </c>
      <c r="BZ16" s="1" t="s">
        <v>28</v>
      </c>
      <c r="CA16" s="1" t="s">
        <v>235</v>
      </c>
      <c r="CB16" s="1" t="s">
        <v>18</v>
      </c>
      <c r="CC16" s="1" t="s">
        <v>30</v>
      </c>
      <c r="CD16" s="6" t="s">
        <v>24</v>
      </c>
      <c r="CE16" s="1" t="s">
        <v>25</v>
      </c>
      <c r="CF16" s="6" t="s">
        <v>24</v>
      </c>
      <c r="CG16" s="1" t="s">
        <v>25</v>
      </c>
      <c r="CH16" s="6" t="s">
        <v>234</v>
      </c>
      <c r="CI16" s="6" t="s">
        <v>24</v>
      </c>
      <c r="CJ16" s="1" t="s">
        <v>25</v>
      </c>
      <c r="CK16" s="6" t="s">
        <v>24</v>
      </c>
      <c r="CL16" s="1" t="s">
        <v>25</v>
      </c>
      <c r="CM16" s="6" t="s">
        <v>24</v>
      </c>
      <c r="CN16" s="1" t="s">
        <v>25</v>
      </c>
      <c r="CO16" s="1" t="s">
        <v>27</v>
      </c>
      <c r="CP16" s="1" t="s">
        <v>28</v>
      </c>
      <c r="CQ16" s="1" t="s">
        <v>235</v>
      </c>
      <c r="CR16" s="1" t="s">
        <v>18</v>
      </c>
      <c r="CS16" s="1" t="s">
        <v>30</v>
      </c>
      <c r="CT16" s="6" t="s">
        <v>24</v>
      </c>
      <c r="CU16" s="1" t="s">
        <v>25</v>
      </c>
      <c r="CV16" s="6" t="s">
        <v>24</v>
      </c>
      <c r="CW16" s="1" t="s">
        <v>25</v>
      </c>
      <c r="CX16" s="6" t="s">
        <v>234</v>
      </c>
      <c r="CY16" s="6" t="s">
        <v>24</v>
      </c>
      <c r="CZ16" s="1" t="s">
        <v>25</v>
      </c>
      <c r="DA16" s="6" t="s">
        <v>24</v>
      </c>
      <c r="DB16" s="1" t="s">
        <v>25</v>
      </c>
      <c r="DC16" s="6" t="s">
        <v>24</v>
      </c>
      <c r="DD16" s="1" t="s">
        <v>25</v>
      </c>
      <c r="DE16" s="1" t="s">
        <v>27</v>
      </c>
      <c r="DF16" s="1" t="s">
        <v>28</v>
      </c>
      <c r="DG16" s="1" t="s">
        <v>235</v>
      </c>
      <c r="DH16" s="1" t="s">
        <v>18</v>
      </c>
      <c r="DI16" s="1" t="s">
        <v>30</v>
      </c>
      <c r="DJ16" s="6" t="s">
        <v>24</v>
      </c>
      <c r="DK16" s="1" t="s">
        <v>25</v>
      </c>
      <c r="DL16" s="6" t="s">
        <v>24</v>
      </c>
      <c r="DM16" s="1" t="s">
        <v>25</v>
      </c>
      <c r="DN16" s="6" t="s">
        <v>234</v>
      </c>
      <c r="DO16" s="6" t="s">
        <v>24</v>
      </c>
      <c r="DP16" s="1" t="s">
        <v>25</v>
      </c>
      <c r="DQ16" s="6" t="s">
        <v>24</v>
      </c>
      <c r="DR16" s="1" t="s">
        <v>25</v>
      </c>
      <c r="DS16" s="6" t="s">
        <v>24</v>
      </c>
      <c r="DT16" s="1" t="s">
        <v>25</v>
      </c>
      <c r="DU16" s="1" t="s">
        <v>27</v>
      </c>
      <c r="DV16" s="1" t="s">
        <v>28</v>
      </c>
      <c r="DW16" s="1" t="s">
        <v>235</v>
      </c>
      <c r="DX16" s="1" t="s">
        <v>18</v>
      </c>
      <c r="DY16" s="1" t="s">
        <v>30</v>
      </c>
      <c r="DZ16" s="6" t="s">
        <v>24</v>
      </c>
      <c r="EA16" s="1" t="s">
        <v>25</v>
      </c>
      <c r="EB16" s="6" t="s">
        <v>24</v>
      </c>
      <c r="EC16" s="1" t="s">
        <v>25</v>
      </c>
      <c r="ED16" s="6" t="s">
        <v>234</v>
      </c>
      <c r="EE16" s="6" t="s">
        <v>24</v>
      </c>
      <c r="EF16" s="1" t="s">
        <v>25</v>
      </c>
      <c r="EG16" s="6" t="s">
        <v>24</v>
      </c>
      <c r="EH16" s="1" t="s">
        <v>25</v>
      </c>
      <c r="EI16" s="6" t="s">
        <v>24</v>
      </c>
      <c r="EJ16" s="1" t="s">
        <v>25</v>
      </c>
      <c r="EK16" s="1" t="s">
        <v>27</v>
      </c>
      <c r="EL16" s="1" t="s">
        <v>28</v>
      </c>
      <c r="EM16" s="1" t="s">
        <v>235</v>
      </c>
      <c r="EN16" s="1" t="s">
        <v>18</v>
      </c>
      <c r="EO16" s="1" t="s">
        <v>30</v>
      </c>
      <c r="EP16" s="6" t="s">
        <v>24</v>
      </c>
      <c r="EQ16" s="1" t="s">
        <v>25</v>
      </c>
      <c r="ER16" s="6" t="s">
        <v>24</v>
      </c>
      <c r="ES16" s="1" t="s">
        <v>25</v>
      </c>
      <c r="ET16" s="6" t="s">
        <v>234</v>
      </c>
      <c r="EU16" s="6" t="s">
        <v>24</v>
      </c>
      <c r="EV16" s="1" t="s">
        <v>25</v>
      </c>
      <c r="EW16" s="6" t="s">
        <v>24</v>
      </c>
      <c r="EX16" s="1" t="s">
        <v>25</v>
      </c>
      <c r="EY16" s="6" t="s">
        <v>24</v>
      </c>
      <c r="EZ16" s="1" t="s">
        <v>25</v>
      </c>
      <c r="FA16" s="1" t="s">
        <v>27</v>
      </c>
      <c r="FB16" s="1" t="s">
        <v>28</v>
      </c>
      <c r="FC16" s="1" t="s">
        <v>235</v>
      </c>
      <c r="FD16" s="1" t="s">
        <v>18</v>
      </c>
      <c r="FE16" s="1" t="s">
        <v>30</v>
      </c>
      <c r="FF16" s="6" t="s">
        <v>24</v>
      </c>
      <c r="FG16" s="1" t="s">
        <v>25</v>
      </c>
      <c r="FH16" s="6" t="s">
        <v>24</v>
      </c>
      <c r="FI16" s="1" t="s">
        <v>25</v>
      </c>
      <c r="FJ16" s="6" t="s">
        <v>234</v>
      </c>
      <c r="FK16" s="6" t="s">
        <v>24</v>
      </c>
      <c r="FL16" s="1" t="s">
        <v>25</v>
      </c>
      <c r="FM16" s="6" t="s">
        <v>24</v>
      </c>
      <c r="FN16" s="1" t="s">
        <v>25</v>
      </c>
      <c r="FO16" s="6" t="s">
        <v>24</v>
      </c>
      <c r="FP16" s="1" t="s">
        <v>25</v>
      </c>
      <c r="FQ16" s="1" t="s">
        <v>27</v>
      </c>
      <c r="FR16" s="1" t="s">
        <v>28</v>
      </c>
      <c r="FS16" s="1" t="s">
        <v>235</v>
      </c>
      <c r="FT16" s="1" t="s">
        <v>18</v>
      </c>
      <c r="FU16" s="1" t="s">
        <v>30</v>
      </c>
    </row>
    <row r="17" spans="1:177" ht="12.75" thickBot="1">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row>
    <row r="18" spans="1:177" ht="12">
      <c r="A18" s="1" t="s">
        <v>40</v>
      </c>
      <c r="B18" s="23">
        <f>18-58</f>
        <v>-40</v>
      </c>
      <c r="C18" s="8">
        <v>24</v>
      </c>
      <c r="D18" s="23">
        <f>45-31</f>
        <v>14</v>
      </c>
      <c r="E18" s="8">
        <v>24</v>
      </c>
      <c r="F18" s="20">
        <v>-0.1</v>
      </c>
      <c r="G18" s="23">
        <f>38-25</f>
        <v>13</v>
      </c>
      <c r="H18" s="8">
        <v>36</v>
      </c>
      <c r="I18" s="23">
        <f>17-3</f>
        <v>14</v>
      </c>
      <c r="J18" s="8">
        <v>80</v>
      </c>
      <c r="K18" s="23">
        <f>38-22</f>
        <v>16</v>
      </c>
      <c r="L18" s="8">
        <v>40</v>
      </c>
      <c r="M18" s="8">
        <v>52</v>
      </c>
      <c r="N18" s="8">
        <v>48</v>
      </c>
      <c r="O18" s="8">
        <v>0</v>
      </c>
      <c r="P18" s="23">
        <f aca="true" t="shared" si="0" ref="P18:P67">M18-O18</f>
        <v>52</v>
      </c>
      <c r="Q18" s="8">
        <v>0</v>
      </c>
      <c r="R18" s="23">
        <f>15-44</f>
        <v>-29</v>
      </c>
      <c r="S18" s="8">
        <v>41</v>
      </c>
      <c r="T18" s="23">
        <f>42-18</f>
        <v>24</v>
      </c>
      <c r="U18" s="8">
        <v>40</v>
      </c>
      <c r="V18" s="20">
        <v>1.4</v>
      </c>
      <c r="W18" s="23">
        <f>58-12</f>
        <v>46</v>
      </c>
      <c r="X18" s="8">
        <v>30</v>
      </c>
      <c r="Y18" s="23">
        <f>5-6</f>
        <v>-1</v>
      </c>
      <c r="Z18" s="8">
        <v>89</v>
      </c>
      <c r="AA18" s="23">
        <f>46-17</f>
        <v>29</v>
      </c>
      <c r="AB18" s="8">
        <v>38</v>
      </c>
      <c r="AC18" s="8">
        <v>52</v>
      </c>
      <c r="AD18" s="8">
        <v>47</v>
      </c>
      <c r="AE18" s="8">
        <v>1</v>
      </c>
      <c r="AF18" s="23">
        <f aca="true" t="shared" si="1" ref="AF18:AF67">AC18-AE18</f>
        <v>51</v>
      </c>
      <c r="AG18" s="8">
        <v>0</v>
      </c>
      <c r="AH18" s="23">
        <f>14-55</f>
        <v>-41</v>
      </c>
      <c r="AI18" s="8">
        <v>32</v>
      </c>
      <c r="AJ18" s="23">
        <f>39-27</f>
        <v>12</v>
      </c>
      <c r="AK18" s="8">
        <v>33</v>
      </c>
      <c r="AL18" s="20">
        <v>-0.3</v>
      </c>
      <c r="AM18" s="23">
        <f>40-22</f>
        <v>18</v>
      </c>
      <c r="AN18" s="8">
        <v>38</v>
      </c>
      <c r="AO18" s="23">
        <f>12-1</f>
        <v>11</v>
      </c>
      <c r="AP18" s="8">
        <v>88</v>
      </c>
      <c r="AQ18" s="23">
        <f>38-27</f>
        <v>11</v>
      </c>
      <c r="AR18" s="8">
        <v>35</v>
      </c>
      <c r="AS18" s="8">
        <v>47</v>
      </c>
      <c r="AT18" s="8">
        <v>50</v>
      </c>
      <c r="AU18" s="8">
        <v>2</v>
      </c>
      <c r="AV18" s="23">
        <f aca="true" t="shared" si="2" ref="AV18:AV67">AS18-AU18</f>
        <v>45</v>
      </c>
      <c r="AW18" s="8">
        <v>0</v>
      </c>
      <c r="AX18" s="23">
        <f>18-50</f>
        <v>-32</v>
      </c>
      <c r="AY18" s="8">
        <v>32</v>
      </c>
      <c r="AZ18" s="23">
        <f>42-36</f>
        <v>6</v>
      </c>
      <c r="BA18" s="8">
        <v>22</v>
      </c>
      <c r="BB18" s="20">
        <v>0.3</v>
      </c>
      <c r="BC18" s="23">
        <f>45-20</f>
        <v>25</v>
      </c>
      <c r="BD18" s="8">
        <v>36</v>
      </c>
      <c r="BE18" s="23">
        <f>20-8</f>
        <v>12</v>
      </c>
      <c r="BF18" s="8">
        <v>71</v>
      </c>
      <c r="BG18" s="23">
        <f>38-20</f>
        <v>18</v>
      </c>
      <c r="BH18" s="8">
        <v>43</v>
      </c>
      <c r="BI18" s="8">
        <v>42</v>
      </c>
      <c r="BJ18" s="8">
        <v>57</v>
      </c>
      <c r="BK18" s="8">
        <v>0</v>
      </c>
      <c r="BL18" s="23">
        <f aca="true" t="shared" si="3" ref="BL18:BL67">BI18-BK18</f>
        <v>42</v>
      </c>
      <c r="BM18" s="8">
        <v>0</v>
      </c>
      <c r="BN18" s="23">
        <f>5-51</f>
        <v>-46</v>
      </c>
      <c r="BO18" s="8">
        <v>44</v>
      </c>
      <c r="BP18" s="23">
        <f>28-25</f>
        <v>3</v>
      </c>
      <c r="BQ18" s="8">
        <v>47</v>
      </c>
      <c r="BR18" s="20">
        <v>-0.5</v>
      </c>
      <c r="BS18" s="23">
        <f>46-16</f>
        <v>30</v>
      </c>
      <c r="BT18" s="8">
        <v>38</v>
      </c>
      <c r="BU18" s="23">
        <f>8-4</f>
        <v>4</v>
      </c>
      <c r="BV18" s="8">
        <v>88</v>
      </c>
      <c r="BW18" s="23">
        <f>39-20</f>
        <v>19</v>
      </c>
      <c r="BX18" s="8">
        <v>41</v>
      </c>
      <c r="BY18" s="8">
        <v>36</v>
      </c>
      <c r="BZ18" s="8">
        <v>60</v>
      </c>
      <c r="CA18" s="8">
        <v>3</v>
      </c>
      <c r="CB18" s="23">
        <f aca="true" t="shared" si="4" ref="CB18:CB67">BY18-CA18</f>
        <v>33</v>
      </c>
      <c r="CC18" s="8">
        <v>1</v>
      </c>
      <c r="CD18" s="23">
        <f>18-45</f>
        <v>-27</v>
      </c>
      <c r="CE18" s="8">
        <v>37</v>
      </c>
      <c r="CF18" s="23">
        <f>55-24</f>
        <v>31</v>
      </c>
      <c r="CG18" s="8">
        <v>22</v>
      </c>
      <c r="CH18" s="20">
        <v>1.2</v>
      </c>
      <c r="CI18" s="23">
        <f>53-11</f>
        <v>42</v>
      </c>
      <c r="CJ18" s="8">
        <v>36</v>
      </c>
      <c r="CK18" s="23">
        <f>5-2</f>
        <v>3</v>
      </c>
      <c r="CL18" s="8">
        <v>93</v>
      </c>
      <c r="CM18" s="23">
        <f>43-9</f>
        <v>34</v>
      </c>
      <c r="CN18" s="8">
        <v>49</v>
      </c>
      <c r="CO18" s="8">
        <v>44</v>
      </c>
      <c r="CP18" s="8">
        <v>51</v>
      </c>
      <c r="CQ18" s="8">
        <v>4</v>
      </c>
      <c r="CR18" s="23">
        <f aca="true" t="shared" si="5" ref="CR18:CR67">CO18-CQ18</f>
        <v>40</v>
      </c>
      <c r="CS18" s="8">
        <v>1</v>
      </c>
      <c r="CT18" s="23">
        <f>18-52</f>
        <v>-34</v>
      </c>
      <c r="CU18" s="8">
        <v>31</v>
      </c>
      <c r="CV18" s="23">
        <f>37-33</f>
        <v>4</v>
      </c>
      <c r="CW18" s="8">
        <v>30</v>
      </c>
      <c r="CX18" s="20">
        <v>-0.5</v>
      </c>
      <c r="CY18" s="23">
        <f>45-13</f>
        <v>32</v>
      </c>
      <c r="CZ18" s="8">
        <v>41</v>
      </c>
      <c r="DA18" s="23">
        <f>17-7</f>
        <v>10</v>
      </c>
      <c r="DB18" s="8">
        <v>77</v>
      </c>
      <c r="DC18" s="23">
        <f>46-9</f>
        <v>37</v>
      </c>
      <c r="DD18" s="8">
        <v>45</v>
      </c>
      <c r="DE18" s="8">
        <v>55</v>
      </c>
      <c r="DF18" s="8">
        <v>41</v>
      </c>
      <c r="DG18" s="8">
        <v>2</v>
      </c>
      <c r="DH18" s="23">
        <f aca="true" t="shared" si="6" ref="DH18:DH67">DE18-DG18</f>
        <v>53</v>
      </c>
      <c r="DI18" s="8">
        <v>3</v>
      </c>
      <c r="DJ18" s="23">
        <f>14-54</f>
        <v>-40</v>
      </c>
      <c r="DK18" s="8">
        <v>32</v>
      </c>
      <c r="DL18" s="23">
        <f>38-21</f>
        <v>17</v>
      </c>
      <c r="DM18" s="8">
        <v>42</v>
      </c>
      <c r="DN18" s="20">
        <v>-0.8</v>
      </c>
      <c r="DO18" s="23">
        <f>39-22</f>
        <v>17</v>
      </c>
      <c r="DP18" s="8">
        <v>39</v>
      </c>
      <c r="DQ18" s="23">
        <f>11-10</f>
        <v>1</v>
      </c>
      <c r="DR18" s="8">
        <v>79</v>
      </c>
      <c r="DS18" s="23">
        <f>51-6</f>
        <v>45</v>
      </c>
      <c r="DT18" s="8">
        <v>44</v>
      </c>
      <c r="DU18" s="8">
        <v>45</v>
      </c>
      <c r="DV18" s="8">
        <v>52</v>
      </c>
      <c r="DW18" s="8">
        <v>2</v>
      </c>
      <c r="DX18" s="23">
        <f aca="true" t="shared" si="7" ref="DX18:DX67">DU18-DW18</f>
        <v>43</v>
      </c>
      <c r="DY18" s="8">
        <v>1</v>
      </c>
      <c r="DZ18" s="23">
        <f>16-27</f>
        <v>-11</v>
      </c>
      <c r="EA18" s="8">
        <v>56</v>
      </c>
      <c r="EB18" s="23">
        <f>28-14</f>
        <v>14</v>
      </c>
      <c r="EC18" s="8">
        <v>58</v>
      </c>
      <c r="ED18" s="20">
        <v>-0.2</v>
      </c>
      <c r="EE18" s="23">
        <f>54-10</f>
        <v>44</v>
      </c>
      <c r="EF18" s="8">
        <v>37</v>
      </c>
      <c r="EG18" s="23">
        <f>10-6</f>
        <v>4</v>
      </c>
      <c r="EH18" s="8">
        <v>84</v>
      </c>
      <c r="EI18" s="23">
        <f>44-2</f>
        <v>42</v>
      </c>
      <c r="EJ18" s="8">
        <v>55</v>
      </c>
      <c r="EK18" s="8">
        <v>42</v>
      </c>
      <c r="EL18" s="8">
        <v>56</v>
      </c>
      <c r="EM18" s="8">
        <v>2</v>
      </c>
      <c r="EN18" s="23">
        <f aca="true" t="shared" si="8" ref="EN18:EN67">EK18-EM18</f>
        <v>40</v>
      </c>
      <c r="EO18" s="8">
        <v>0</v>
      </c>
      <c r="EP18" s="23">
        <f>15-50</f>
        <v>-35</v>
      </c>
      <c r="EQ18" s="8">
        <v>34</v>
      </c>
      <c r="ER18" s="23">
        <f>40-27</f>
        <v>13</v>
      </c>
      <c r="ES18" s="8">
        <v>33</v>
      </c>
      <c r="ET18" s="20">
        <v>0</v>
      </c>
      <c r="EU18" s="23">
        <f>45-18</f>
        <v>27</v>
      </c>
      <c r="EV18" s="8">
        <v>37</v>
      </c>
      <c r="EW18" s="23">
        <f>13-5</f>
        <v>8</v>
      </c>
      <c r="EX18" s="8">
        <v>82</v>
      </c>
      <c r="EY18" s="23">
        <f>42-16</f>
        <v>26</v>
      </c>
      <c r="EZ18" s="8">
        <v>42</v>
      </c>
      <c r="FA18" s="8">
        <v>47</v>
      </c>
      <c r="FB18" s="8">
        <v>51</v>
      </c>
      <c r="FC18" s="8">
        <v>2</v>
      </c>
      <c r="FD18" s="23">
        <f aca="true" t="shared" si="9" ref="FD18:FD67">FA18-FC18</f>
        <v>45</v>
      </c>
      <c r="FE18" s="8">
        <v>0</v>
      </c>
      <c r="FF18" s="23">
        <f>13-55</f>
        <v>-42</v>
      </c>
      <c r="FG18" s="8">
        <v>32</v>
      </c>
      <c r="FH18" s="23">
        <f>33-35</f>
        <v>-2</v>
      </c>
      <c r="FI18" s="8">
        <v>32</v>
      </c>
      <c r="FJ18" s="20">
        <v>-1.254</v>
      </c>
      <c r="FK18" s="23">
        <f>46-18</f>
        <v>28</v>
      </c>
      <c r="FL18" s="8">
        <v>35</v>
      </c>
      <c r="FM18" s="23">
        <f>17-5</f>
        <v>12</v>
      </c>
      <c r="FN18" s="8">
        <v>78</v>
      </c>
      <c r="FO18" s="23">
        <f>37-21</f>
        <v>16</v>
      </c>
      <c r="FP18" s="8">
        <v>42</v>
      </c>
      <c r="FQ18" s="22" t="s">
        <v>1</v>
      </c>
      <c r="FR18" s="22" t="s">
        <v>1</v>
      </c>
      <c r="FS18" s="22" t="s">
        <v>1</v>
      </c>
      <c r="FT18" s="111" t="s">
        <v>1</v>
      </c>
      <c r="FU18" s="22" t="s">
        <v>1</v>
      </c>
    </row>
    <row r="19" spans="1:177" ht="12">
      <c r="A19" s="1" t="s">
        <v>36</v>
      </c>
      <c r="B19" s="23">
        <f>37-25</f>
        <v>12</v>
      </c>
      <c r="C19" s="8">
        <v>38</v>
      </c>
      <c r="D19" s="23">
        <f>41-31</f>
        <v>10</v>
      </c>
      <c r="E19" s="8">
        <v>27</v>
      </c>
      <c r="F19" s="20">
        <v>0.4</v>
      </c>
      <c r="G19" s="23">
        <f>39-23</f>
        <v>16</v>
      </c>
      <c r="H19" s="8">
        <v>37</v>
      </c>
      <c r="I19" s="23">
        <f>8-6</f>
        <v>2</v>
      </c>
      <c r="J19" s="8">
        <v>86</v>
      </c>
      <c r="K19" s="23">
        <f>41-22</f>
        <v>19</v>
      </c>
      <c r="L19" s="8">
        <v>37</v>
      </c>
      <c r="M19" s="8">
        <v>46</v>
      </c>
      <c r="N19" s="8">
        <v>49</v>
      </c>
      <c r="O19" s="8">
        <v>3</v>
      </c>
      <c r="P19" s="23">
        <f t="shared" si="0"/>
        <v>43</v>
      </c>
      <c r="Q19" s="8">
        <v>1</v>
      </c>
      <c r="R19" s="23">
        <f>45-16</f>
        <v>29</v>
      </c>
      <c r="S19" s="8">
        <v>39</v>
      </c>
      <c r="T19" s="23">
        <f>44-23</f>
        <v>21</v>
      </c>
      <c r="U19" s="8">
        <v>33</v>
      </c>
      <c r="V19" s="20">
        <v>2.1</v>
      </c>
      <c r="W19" s="23">
        <f>35-23</f>
        <v>12</v>
      </c>
      <c r="X19" s="8">
        <v>42</v>
      </c>
      <c r="Y19" s="23">
        <f>8-4</f>
        <v>4</v>
      </c>
      <c r="Z19" s="8">
        <v>88</v>
      </c>
      <c r="AA19" s="23">
        <f>34-21</f>
        <v>13</v>
      </c>
      <c r="AB19" s="8">
        <v>45</v>
      </c>
      <c r="AC19" s="8">
        <v>44</v>
      </c>
      <c r="AD19" s="8">
        <v>56</v>
      </c>
      <c r="AE19" s="8">
        <v>0</v>
      </c>
      <c r="AF19" s="23">
        <f t="shared" si="1"/>
        <v>44</v>
      </c>
      <c r="AG19" s="8">
        <v>0</v>
      </c>
      <c r="AH19" s="23">
        <f>44-23</f>
        <v>21</v>
      </c>
      <c r="AI19" s="8">
        <v>39</v>
      </c>
      <c r="AJ19" s="23">
        <f>46-25</f>
        <v>21</v>
      </c>
      <c r="AK19" s="8">
        <v>29</v>
      </c>
      <c r="AL19" s="20">
        <v>0.3</v>
      </c>
      <c r="AM19" s="23">
        <f>43-22</f>
        <v>21</v>
      </c>
      <c r="AN19" s="8">
        <v>36</v>
      </c>
      <c r="AO19" s="23">
        <f>8-7</f>
        <v>1</v>
      </c>
      <c r="AP19" s="8">
        <v>85</v>
      </c>
      <c r="AQ19" s="23">
        <f>30-23</f>
        <v>7</v>
      </c>
      <c r="AR19" s="8">
        <v>47</v>
      </c>
      <c r="AS19" s="8">
        <v>46</v>
      </c>
      <c r="AT19" s="8">
        <v>53</v>
      </c>
      <c r="AU19" s="8">
        <v>1</v>
      </c>
      <c r="AV19" s="23">
        <f t="shared" si="2"/>
        <v>45</v>
      </c>
      <c r="AW19" s="8">
        <v>0</v>
      </c>
      <c r="AX19" s="23">
        <f>45-23</f>
        <v>22</v>
      </c>
      <c r="AY19" s="8">
        <v>32</v>
      </c>
      <c r="AZ19" s="23">
        <f>43-32</f>
        <v>11</v>
      </c>
      <c r="BA19" s="8">
        <v>25</v>
      </c>
      <c r="BB19" s="20">
        <v>0.1</v>
      </c>
      <c r="BC19" s="23">
        <f>35-30</f>
        <v>5</v>
      </c>
      <c r="BD19" s="8">
        <v>35</v>
      </c>
      <c r="BE19" s="23">
        <f>16-2</f>
        <v>14</v>
      </c>
      <c r="BF19" s="8">
        <v>82</v>
      </c>
      <c r="BG19" s="23">
        <f>33-30</f>
        <v>3</v>
      </c>
      <c r="BH19" s="8">
        <v>37</v>
      </c>
      <c r="BI19" s="8">
        <v>41</v>
      </c>
      <c r="BJ19" s="8">
        <v>55</v>
      </c>
      <c r="BK19" s="8">
        <v>4</v>
      </c>
      <c r="BL19" s="23">
        <f t="shared" si="3"/>
        <v>37</v>
      </c>
      <c r="BM19" s="8">
        <v>0</v>
      </c>
      <c r="BN19" s="23">
        <f>41-14</f>
        <v>27</v>
      </c>
      <c r="BO19" s="8">
        <v>44</v>
      </c>
      <c r="BP19" s="23">
        <f>41-20</f>
        <v>21</v>
      </c>
      <c r="BQ19" s="8">
        <v>39</v>
      </c>
      <c r="BR19" s="20">
        <v>0.1</v>
      </c>
      <c r="BS19" s="23">
        <f>38-27</f>
        <v>11</v>
      </c>
      <c r="BT19" s="8">
        <v>35</v>
      </c>
      <c r="BU19" s="23">
        <f>15-1</f>
        <v>14</v>
      </c>
      <c r="BV19" s="8">
        <v>84</v>
      </c>
      <c r="BW19" s="23">
        <f>33-23</f>
        <v>10</v>
      </c>
      <c r="BX19" s="8">
        <v>44</v>
      </c>
      <c r="BY19" s="8">
        <v>34</v>
      </c>
      <c r="BZ19" s="8">
        <v>66</v>
      </c>
      <c r="CA19" s="8">
        <v>0</v>
      </c>
      <c r="CB19" s="23">
        <f t="shared" si="4"/>
        <v>34</v>
      </c>
      <c r="CC19" s="8">
        <v>0</v>
      </c>
      <c r="CD19" s="23">
        <f>45-21</f>
        <v>24</v>
      </c>
      <c r="CE19" s="8">
        <v>35</v>
      </c>
      <c r="CF19" s="23">
        <f>53-22</f>
        <v>31</v>
      </c>
      <c r="CG19" s="8">
        <v>25</v>
      </c>
      <c r="CH19" s="20">
        <v>1.7</v>
      </c>
      <c r="CI19" s="23">
        <f>46-18</f>
        <v>28</v>
      </c>
      <c r="CJ19" s="8">
        <v>36</v>
      </c>
      <c r="CK19" s="23">
        <f>13-6</f>
        <v>7</v>
      </c>
      <c r="CL19" s="8">
        <v>81</v>
      </c>
      <c r="CM19" s="23">
        <f>42-22</f>
        <v>20</v>
      </c>
      <c r="CN19" s="8">
        <v>36</v>
      </c>
      <c r="CO19" s="8">
        <v>35</v>
      </c>
      <c r="CP19" s="8">
        <v>63</v>
      </c>
      <c r="CQ19" s="8">
        <v>2</v>
      </c>
      <c r="CR19" s="23">
        <f t="shared" si="5"/>
        <v>33</v>
      </c>
      <c r="CS19" s="8">
        <v>0</v>
      </c>
      <c r="CT19" s="23">
        <f>39-25</f>
        <v>14</v>
      </c>
      <c r="CU19" s="8">
        <v>36</v>
      </c>
      <c r="CV19" s="23">
        <f>38-27</f>
        <v>11</v>
      </c>
      <c r="CW19" s="8">
        <v>36</v>
      </c>
      <c r="CX19" s="20">
        <v>0.2</v>
      </c>
      <c r="CY19" s="23">
        <f>44-21</f>
        <v>23</v>
      </c>
      <c r="CZ19" s="8">
        <v>36</v>
      </c>
      <c r="DA19" s="23">
        <f>13-6</f>
        <v>7</v>
      </c>
      <c r="DB19" s="8">
        <v>81</v>
      </c>
      <c r="DC19" s="23">
        <f>40-32</f>
        <v>8</v>
      </c>
      <c r="DD19" s="8">
        <v>28</v>
      </c>
      <c r="DE19" s="8">
        <v>45</v>
      </c>
      <c r="DF19" s="8">
        <v>49</v>
      </c>
      <c r="DG19" s="8">
        <v>5</v>
      </c>
      <c r="DH19" s="23">
        <f t="shared" si="6"/>
        <v>40</v>
      </c>
      <c r="DI19" s="8">
        <v>2</v>
      </c>
      <c r="DJ19" s="23">
        <f>42-30</f>
        <v>12</v>
      </c>
      <c r="DK19" s="8">
        <v>28</v>
      </c>
      <c r="DL19" s="23">
        <f>39-29</f>
        <v>10</v>
      </c>
      <c r="DM19" s="8">
        <v>32</v>
      </c>
      <c r="DN19" s="20">
        <v>-1.1</v>
      </c>
      <c r="DO19" s="23">
        <f>38-20</f>
        <v>18</v>
      </c>
      <c r="DP19" s="8">
        <v>42</v>
      </c>
      <c r="DQ19" s="23">
        <f>4-5</f>
        <v>-1</v>
      </c>
      <c r="DR19" s="8">
        <v>92</v>
      </c>
      <c r="DS19" s="23">
        <f>35-19</f>
        <v>16</v>
      </c>
      <c r="DT19" s="8">
        <v>46</v>
      </c>
      <c r="DU19" s="8">
        <v>38</v>
      </c>
      <c r="DV19" s="8">
        <v>62</v>
      </c>
      <c r="DW19" s="8">
        <v>0</v>
      </c>
      <c r="DX19" s="23">
        <f t="shared" si="7"/>
        <v>38</v>
      </c>
      <c r="DY19" s="8">
        <v>0</v>
      </c>
      <c r="DZ19" s="23">
        <f>31-25</f>
        <v>6</v>
      </c>
      <c r="EA19" s="8">
        <v>44</v>
      </c>
      <c r="EB19" s="23">
        <f>22-28</f>
        <v>-6</v>
      </c>
      <c r="EC19" s="8">
        <v>51</v>
      </c>
      <c r="ED19" s="20">
        <v>-0.9</v>
      </c>
      <c r="EE19" s="23">
        <f>38-26</f>
        <v>12</v>
      </c>
      <c r="EF19" s="8">
        <v>35</v>
      </c>
      <c r="EG19" s="23">
        <f>5-3</f>
        <v>2</v>
      </c>
      <c r="EH19" s="8">
        <v>91</v>
      </c>
      <c r="EI19" s="23">
        <f>30-28</f>
        <v>2</v>
      </c>
      <c r="EJ19" s="8">
        <v>42</v>
      </c>
      <c r="EK19" s="8">
        <v>47</v>
      </c>
      <c r="EL19" s="8">
        <v>48</v>
      </c>
      <c r="EM19" s="8">
        <v>5</v>
      </c>
      <c r="EN19" s="23">
        <f t="shared" si="8"/>
        <v>42</v>
      </c>
      <c r="EO19" s="8">
        <v>0</v>
      </c>
      <c r="EP19" s="23">
        <f>41-23</f>
        <v>18</v>
      </c>
      <c r="EQ19" s="8">
        <v>36</v>
      </c>
      <c r="ER19" s="23">
        <f>41-27</f>
        <v>14</v>
      </c>
      <c r="ES19" s="8">
        <v>32</v>
      </c>
      <c r="ET19" s="20">
        <v>0.3</v>
      </c>
      <c r="EU19" s="23">
        <f>39-24</f>
        <v>15</v>
      </c>
      <c r="EV19" s="8">
        <v>37</v>
      </c>
      <c r="EW19" s="23">
        <f>10-4</f>
        <v>6</v>
      </c>
      <c r="EX19" s="8">
        <v>86</v>
      </c>
      <c r="EY19" s="23">
        <f>36-24</f>
        <v>12</v>
      </c>
      <c r="EZ19" s="8">
        <v>40</v>
      </c>
      <c r="FA19" s="8">
        <v>42</v>
      </c>
      <c r="FB19" s="8">
        <v>55</v>
      </c>
      <c r="FC19" s="8">
        <v>2</v>
      </c>
      <c r="FD19" s="23">
        <f t="shared" si="9"/>
        <v>40</v>
      </c>
      <c r="FE19" s="8">
        <v>0</v>
      </c>
      <c r="FF19" s="23">
        <f>37-27</f>
        <v>10</v>
      </c>
      <c r="FG19" s="8">
        <v>36</v>
      </c>
      <c r="FH19" s="23">
        <f>35-30</f>
        <v>5</v>
      </c>
      <c r="FI19" s="8">
        <v>35</v>
      </c>
      <c r="FJ19" s="20">
        <v>-0.555</v>
      </c>
      <c r="FK19" s="23">
        <f>38-21</f>
        <v>17</v>
      </c>
      <c r="FL19" s="8">
        <v>40</v>
      </c>
      <c r="FM19" s="23">
        <f>17-3</f>
        <v>14</v>
      </c>
      <c r="FN19" s="8">
        <v>79</v>
      </c>
      <c r="FO19" s="23">
        <f>33-24</f>
        <v>9</v>
      </c>
      <c r="FP19" s="8">
        <v>42</v>
      </c>
      <c r="FQ19" s="22" t="s">
        <v>1</v>
      </c>
      <c r="FR19" s="22" t="s">
        <v>1</v>
      </c>
      <c r="FS19" s="22" t="s">
        <v>1</v>
      </c>
      <c r="FT19" s="111" t="s">
        <v>1</v>
      </c>
      <c r="FU19" s="22" t="s">
        <v>1</v>
      </c>
    </row>
    <row r="20" spans="1:177" ht="12">
      <c r="A20" s="1" t="s">
        <v>32</v>
      </c>
      <c r="B20" s="23">
        <f>13-49</f>
        <v>-36</v>
      </c>
      <c r="C20" s="8">
        <v>38</v>
      </c>
      <c r="D20" s="23">
        <f>44-23</f>
        <v>21</v>
      </c>
      <c r="E20" s="8">
        <v>33</v>
      </c>
      <c r="F20" s="20">
        <v>0.4</v>
      </c>
      <c r="G20" s="23">
        <f>50-6</f>
        <v>44</v>
      </c>
      <c r="H20" s="8">
        <v>45</v>
      </c>
      <c r="I20" s="23">
        <f>3-1</f>
        <v>2</v>
      </c>
      <c r="J20" s="8">
        <v>97</v>
      </c>
      <c r="K20" s="23">
        <f>51-5</f>
        <v>46</v>
      </c>
      <c r="L20" s="8">
        <v>44</v>
      </c>
      <c r="M20" s="8">
        <v>54</v>
      </c>
      <c r="N20" s="8">
        <v>40</v>
      </c>
      <c r="O20" s="8">
        <v>7</v>
      </c>
      <c r="P20" s="23">
        <f t="shared" si="0"/>
        <v>47</v>
      </c>
      <c r="Q20" s="8">
        <v>0</v>
      </c>
      <c r="R20" s="23">
        <f>15-55</f>
        <v>-40</v>
      </c>
      <c r="S20" s="8">
        <v>30</v>
      </c>
      <c r="T20" s="23">
        <f>48-22</f>
        <v>26</v>
      </c>
      <c r="U20" s="8">
        <v>30</v>
      </c>
      <c r="V20" s="20">
        <v>0.7</v>
      </c>
      <c r="W20" s="23">
        <f>54-16</f>
        <v>38</v>
      </c>
      <c r="X20" s="8">
        <v>30</v>
      </c>
      <c r="Y20" s="23">
        <f>22-1</f>
        <v>21</v>
      </c>
      <c r="Z20" s="8">
        <v>77</v>
      </c>
      <c r="AA20" s="23">
        <f>52-13</f>
        <v>39</v>
      </c>
      <c r="AB20" s="8">
        <v>34</v>
      </c>
      <c r="AC20" s="8">
        <v>63</v>
      </c>
      <c r="AD20" s="8">
        <v>35</v>
      </c>
      <c r="AE20" s="8">
        <v>0</v>
      </c>
      <c r="AF20" s="23">
        <f t="shared" si="1"/>
        <v>63</v>
      </c>
      <c r="AG20" s="8">
        <v>3</v>
      </c>
      <c r="AH20" s="23">
        <f>18-58</f>
        <v>-40</v>
      </c>
      <c r="AI20" s="8">
        <v>24</v>
      </c>
      <c r="AJ20" s="23">
        <f>48-23</f>
        <v>25</v>
      </c>
      <c r="AK20" s="8">
        <v>29</v>
      </c>
      <c r="AL20" s="20">
        <v>0.8</v>
      </c>
      <c r="AM20" s="23">
        <f>63-11</f>
        <v>52</v>
      </c>
      <c r="AN20" s="8">
        <v>26</v>
      </c>
      <c r="AO20" s="23">
        <f>14-1</f>
        <v>13</v>
      </c>
      <c r="AP20" s="8">
        <v>85</v>
      </c>
      <c r="AQ20" s="23">
        <f>54-11</f>
        <v>43</v>
      </c>
      <c r="AR20" s="8">
        <v>35</v>
      </c>
      <c r="AS20" s="8">
        <v>56</v>
      </c>
      <c r="AT20" s="8">
        <v>43</v>
      </c>
      <c r="AU20" s="8">
        <v>1</v>
      </c>
      <c r="AV20" s="23">
        <f t="shared" si="2"/>
        <v>55</v>
      </c>
      <c r="AW20" s="8">
        <v>0</v>
      </c>
      <c r="AX20" s="23">
        <f>20-50</f>
        <v>-30</v>
      </c>
      <c r="AY20" s="8">
        <v>30</v>
      </c>
      <c r="AZ20" s="23">
        <f>43-17</f>
        <v>26</v>
      </c>
      <c r="BA20" s="8">
        <v>40</v>
      </c>
      <c r="BB20" s="20">
        <v>1.3</v>
      </c>
      <c r="BC20" s="23">
        <f>63-5</f>
        <v>58</v>
      </c>
      <c r="BD20" s="8">
        <v>32</v>
      </c>
      <c r="BE20" s="23">
        <f>16-1</f>
        <v>15</v>
      </c>
      <c r="BF20" s="8">
        <v>84</v>
      </c>
      <c r="BG20" s="23">
        <f>57-4</f>
        <v>53</v>
      </c>
      <c r="BH20" s="8">
        <v>39</v>
      </c>
      <c r="BI20" s="8">
        <v>62</v>
      </c>
      <c r="BJ20" s="8">
        <v>38</v>
      </c>
      <c r="BK20" s="8">
        <v>0</v>
      </c>
      <c r="BL20" s="23">
        <f t="shared" si="3"/>
        <v>62</v>
      </c>
      <c r="BM20" s="8">
        <v>0</v>
      </c>
      <c r="BN20" s="23">
        <f>22-52</f>
        <v>-30</v>
      </c>
      <c r="BO20" s="8">
        <v>26</v>
      </c>
      <c r="BP20" s="23">
        <f>52-31</f>
        <v>21</v>
      </c>
      <c r="BQ20" s="8">
        <v>18</v>
      </c>
      <c r="BR20" s="20">
        <v>0.5</v>
      </c>
      <c r="BS20" s="23">
        <f>54-21</f>
        <v>33</v>
      </c>
      <c r="BT20" s="8">
        <v>25</v>
      </c>
      <c r="BU20" s="23">
        <f>15-2</f>
        <v>13</v>
      </c>
      <c r="BV20" s="8">
        <v>83</v>
      </c>
      <c r="BW20" s="23">
        <f>32-21</f>
        <v>11</v>
      </c>
      <c r="BX20" s="8">
        <v>47</v>
      </c>
      <c r="BY20" s="8">
        <v>62</v>
      </c>
      <c r="BZ20" s="8">
        <v>38</v>
      </c>
      <c r="CA20" s="8">
        <v>0</v>
      </c>
      <c r="CB20" s="23">
        <f t="shared" si="4"/>
        <v>62</v>
      </c>
      <c r="CC20" s="8">
        <v>1</v>
      </c>
      <c r="CD20" s="23">
        <f>25-52</f>
        <v>-27</v>
      </c>
      <c r="CE20" s="8">
        <v>23</v>
      </c>
      <c r="CF20" s="23">
        <f>59-23</f>
        <v>36</v>
      </c>
      <c r="CG20" s="8">
        <v>17</v>
      </c>
      <c r="CH20" s="20">
        <v>0.8</v>
      </c>
      <c r="CI20" s="23">
        <f>51-17</f>
        <v>34</v>
      </c>
      <c r="CJ20" s="8">
        <v>31</v>
      </c>
      <c r="CK20" s="23">
        <f>9-0</f>
        <v>9</v>
      </c>
      <c r="CL20" s="8">
        <v>91</v>
      </c>
      <c r="CM20" s="23">
        <f>60-6</f>
        <v>54</v>
      </c>
      <c r="CN20" s="8">
        <v>34</v>
      </c>
      <c r="CO20" s="8">
        <v>50</v>
      </c>
      <c r="CP20" s="8">
        <v>49</v>
      </c>
      <c r="CQ20" s="8">
        <v>1</v>
      </c>
      <c r="CR20" s="23">
        <f t="shared" si="5"/>
        <v>49</v>
      </c>
      <c r="CS20" s="8">
        <v>0</v>
      </c>
      <c r="CT20" s="23">
        <f>21-49</f>
        <v>-28</v>
      </c>
      <c r="CU20" s="8">
        <v>31</v>
      </c>
      <c r="CV20" s="23">
        <f>45-34</f>
        <v>11</v>
      </c>
      <c r="CW20" s="8">
        <v>22</v>
      </c>
      <c r="CX20" s="20">
        <v>-1.6</v>
      </c>
      <c r="CY20" s="23">
        <f>57-9</f>
        <v>48</v>
      </c>
      <c r="CZ20" s="8">
        <v>34</v>
      </c>
      <c r="DA20" s="23">
        <f>37-3</f>
        <v>34</v>
      </c>
      <c r="DB20" s="8">
        <v>60</v>
      </c>
      <c r="DC20" s="23">
        <f>51-16</f>
        <v>35</v>
      </c>
      <c r="DD20" s="8">
        <v>33</v>
      </c>
      <c r="DE20" s="8">
        <v>37</v>
      </c>
      <c r="DF20" s="8">
        <v>61</v>
      </c>
      <c r="DG20" s="8">
        <v>2</v>
      </c>
      <c r="DH20" s="23">
        <f t="shared" si="6"/>
        <v>35</v>
      </c>
      <c r="DI20" s="8">
        <v>0</v>
      </c>
      <c r="DJ20" s="23">
        <f>19-41</f>
        <v>-22</v>
      </c>
      <c r="DK20" s="8">
        <v>40</v>
      </c>
      <c r="DL20" s="23">
        <f>41-18</f>
        <v>23</v>
      </c>
      <c r="DM20" s="8">
        <v>40</v>
      </c>
      <c r="DN20" s="20">
        <v>1.4</v>
      </c>
      <c r="DO20" s="23">
        <f>56-5</f>
        <v>51</v>
      </c>
      <c r="DP20" s="8">
        <v>39</v>
      </c>
      <c r="DQ20" s="23">
        <f>6-0</f>
        <v>6</v>
      </c>
      <c r="DR20" s="8">
        <v>93</v>
      </c>
      <c r="DS20" s="23">
        <f>30-5</f>
        <v>25</v>
      </c>
      <c r="DT20" s="8">
        <v>65</v>
      </c>
      <c r="DU20" s="8">
        <v>46</v>
      </c>
      <c r="DV20" s="8">
        <v>52</v>
      </c>
      <c r="DW20" s="8">
        <v>0</v>
      </c>
      <c r="DX20" s="23">
        <f t="shared" si="7"/>
        <v>46</v>
      </c>
      <c r="DY20" s="8">
        <v>2</v>
      </c>
      <c r="DZ20" s="23">
        <f>33-32</f>
        <v>1</v>
      </c>
      <c r="EA20" s="8">
        <v>35</v>
      </c>
      <c r="EB20" s="23">
        <f>57-18</f>
        <v>39</v>
      </c>
      <c r="EC20" s="8">
        <v>25</v>
      </c>
      <c r="ED20" s="20">
        <v>1.6</v>
      </c>
      <c r="EE20" s="23">
        <f>46-20</f>
        <v>26</v>
      </c>
      <c r="EF20" s="8">
        <v>34</v>
      </c>
      <c r="EG20" s="23">
        <f>14-7</f>
        <v>7</v>
      </c>
      <c r="EH20" s="8">
        <v>79</v>
      </c>
      <c r="EI20" s="23">
        <f>47-20</f>
        <v>27</v>
      </c>
      <c r="EJ20" s="8">
        <v>33</v>
      </c>
      <c r="EK20" s="8">
        <v>46</v>
      </c>
      <c r="EL20" s="8">
        <v>52</v>
      </c>
      <c r="EM20" s="8">
        <v>1</v>
      </c>
      <c r="EN20" s="23">
        <f t="shared" si="8"/>
        <v>45</v>
      </c>
      <c r="EO20" s="8">
        <v>0</v>
      </c>
      <c r="EP20" s="23">
        <f>19-49</f>
        <v>-30</v>
      </c>
      <c r="EQ20" s="8">
        <v>32</v>
      </c>
      <c r="ER20" s="23">
        <f>47-23</f>
        <v>24</v>
      </c>
      <c r="ES20" s="8">
        <v>30</v>
      </c>
      <c r="ET20" s="20">
        <v>0.7</v>
      </c>
      <c r="EU20" s="23">
        <f>55-11</f>
        <v>44</v>
      </c>
      <c r="EV20" s="8">
        <v>35</v>
      </c>
      <c r="EW20" s="23">
        <f>14-2</f>
        <v>12</v>
      </c>
      <c r="EX20" s="8">
        <v>85</v>
      </c>
      <c r="EY20" s="23">
        <f>49-10</f>
        <v>39</v>
      </c>
      <c r="EZ20" s="8">
        <v>41</v>
      </c>
      <c r="FA20" s="8">
        <v>54</v>
      </c>
      <c r="FB20" s="8">
        <v>44</v>
      </c>
      <c r="FC20" s="8">
        <v>2</v>
      </c>
      <c r="FD20" s="23">
        <f t="shared" si="9"/>
        <v>52</v>
      </c>
      <c r="FE20" s="8">
        <v>1</v>
      </c>
      <c r="FF20" s="23">
        <f>21-44</f>
        <v>-23</v>
      </c>
      <c r="FG20" s="8">
        <v>35</v>
      </c>
      <c r="FH20" s="23">
        <f>36-30</f>
        <v>6</v>
      </c>
      <c r="FI20" s="8">
        <v>33</v>
      </c>
      <c r="FJ20" s="20">
        <v>-0.496</v>
      </c>
      <c r="FK20" s="23">
        <f>53-13</f>
        <v>40</v>
      </c>
      <c r="FL20" s="8">
        <v>34</v>
      </c>
      <c r="FM20" s="23">
        <f>14-4</f>
        <v>10</v>
      </c>
      <c r="FN20" s="8">
        <v>82</v>
      </c>
      <c r="FO20" s="23">
        <f>44-16</f>
        <v>28</v>
      </c>
      <c r="FP20" s="8">
        <v>40</v>
      </c>
      <c r="FQ20" s="22" t="s">
        <v>1</v>
      </c>
      <c r="FR20" s="22" t="s">
        <v>1</v>
      </c>
      <c r="FS20" s="22" t="s">
        <v>1</v>
      </c>
      <c r="FT20" s="111" t="s">
        <v>1</v>
      </c>
      <c r="FU20" s="22" t="s">
        <v>1</v>
      </c>
    </row>
    <row r="21" spans="1:177" ht="12">
      <c r="A21" s="1" t="s">
        <v>33</v>
      </c>
      <c r="B21" s="23">
        <f>47-22</f>
        <v>25</v>
      </c>
      <c r="C21" s="8">
        <v>32</v>
      </c>
      <c r="D21" s="23">
        <f>50-25</f>
        <v>25</v>
      </c>
      <c r="E21" s="8">
        <v>25</v>
      </c>
      <c r="F21" s="20">
        <v>1.5</v>
      </c>
      <c r="G21" s="23">
        <f>23-33</f>
        <v>-10</v>
      </c>
      <c r="H21" s="8">
        <v>44</v>
      </c>
      <c r="I21" s="23">
        <f>11-5</f>
        <v>6</v>
      </c>
      <c r="J21" s="8">
        <v>85</v>
      </c>
      <c r="K21" s="23">
        <f>31-24</f>
        <v>7</v>
      </c>
      <c r="L21" s="8">
        <v>45</v>
      </c>
      <c r="M21" s="8">
        <v>52</v>
      </c>
      <c r="N21" s="8">
        <v>47</v>
      </c>
      <c r="O21" s="8">
        <v>1</v>
      </c>
      <c r="P21" s="23">
        <f t="shared" si="0"/>
        <v>51</v>
      </c>
      <c r="Q21" s="8">
        <v>0</v>
      </c>
      <c r="R21" s="23">
        <f>47-17</f>
        <v>30</v>
      </c>
      <c r="S21" s="8">
        <v>36</v>
      </c>
      <c r="T21" s="23">
        <f>44-20</f>
        <v>24</v>
      </c>
      <c r="U21" s="8">
        <v>36</v>
      </c>
      <c r="V21" s="20">
        <v>2.9</v>
      </c>
      <c r="W21" s="23">
        <f>35-9</f>
        <v>26</v>
      </c>
      <c r="X21" s="8">
        <v>56</v>
      </c>
      <c r="Y21" s="23">
        <f>19-2</f>
        <v>17</v>
      </c>
      <c r="Z21" s="8">
        <v>78</v>
      </c>
      <c r="AA21" s="23">
        <f>32-16</f>
        <v>16</v>
      </c>
      <c r="AB21" s="8">
        <v>52</v>
      </c>
      <c r="AC21" s="8">
        <v>53</v>
      </c>
      <c r="AD21" s="8">
        <v>47</v>
      </c>
      <c r="AE21" s="8">
        <v>0</v>
      </c>
      <c r="AF21" s="23">
        <f t="shared" si="1"/>
        <v>53</v>
      </c>
      <c r="AG21" s="8">
        <v>0</v>
      </c>
      <c r="AH21" s="23">
        <f>66-14</f>
        <v>52</v>
      </c>
      <c r="AI21" s="8">
        <v>20</v>
      </c>
      <c r="AJ21" s="23">
        <f>44-26</f>
        <v>18</v>
      </c>
      <c r="AK21" s="8">
        <v>29</v>
      </c>
      <c r="AL21" s="20">
        <v>1.4</v>
      </c>
      <c r="AM21" s="23">
        <f>25-25</f>
        <v>0</v>
      </c>
      <c r="AN21" s="8">
        <v>50</v>
      </c>
      <c r="AO21" s="23">
        <f>14-2</f>
        <v>12</v>
      </c>
      <c r="AP21" s="8">
        <v>84</v>
      </c>
      <c r="AQ21" s="23">
        <f>28-26</f>
        <v>2</v>
      </c>
      <c r="AR21" s="8">
        <v>47</v>
      </c>
      <c r="AS21" s="8">
        <v>54</v>
      </c>
      <c r="AT21" s="8">
        <v>46</v>
      </c>
      <c r="AU21" s="8">
        <v>1</v>
      </c>
      <c r="AV21" s="23">
        <f t="shared" si="2"/>
        <v>53</v>
      </c>
      <c r="AW21" s="8">
        <v>0</v>
      </c>
      <c r="AX21" s="23">
        <f>51-16</f>
        <v>35</v>
      </c>
      <c r="AY21" s="8">
        <v>33</v>
      </c>
      <c r="AZ21" s="23">
        <f>39-25</f>
        <v>14</v>
      </c>
      <c r="BA21" s="8">
        <v>35</v>
      </c>
      <c r="BB21" s="20">
        <v>1.5</v>
      </c>
      <c r="BC21" s="23">
        <f>32-33</f>
        <v>-1</v>
      </c>
      <c r="BD21" s="8">
        <v>34</v>
      </c>
      <c r="BE21" s="23">
        <f>10-2</f>
        <v>8</v>
      </c>
      <c r="BF21" s="8">
        <v>88</v>
      </c>
      <c r="BG21" s="23">
        <f>27-29</f>
        <v>-2</v>
      </c>
      <c r="BH21" s="8">
        <v>45</v>
      </c>
      <c r="BI21" s="8">
        <v>55</v>
      </c>
      <c r="BJ21" s="8">
        <v>42</v>
      </c>
      <c r="BK21" s="8">
        <v>3</v>
      </c>
      <c r="BL21" s="23">
        <f t="shared" si="3"/>
        <v>52</v>
      </c>
      <c r="BM21" s="8">
        <v>0</v>
      </c>
      <c r="BN21" s="23">
        <f>46-18</f>
        <v>28</v>
      </c>
      <c r="BO21" s="8">
        <v>36</v>
      </c>
      <c r="BP21" s="23">
        <f>25-36</f>
        <v>-11</v>
      </c>
      <c r="BQ21" s="8">
        <v>39</v>
      </c>
      <c r="BR21" s="20">
        <v>-1</v>
      </c>
      <c r="BS21" s="23">
        <f>37-25</f>
        <v>12</v>
      </c>
      <c r="BT21" s="8">
        <v>38</v>
      </c>
      <c r="BU21" s="23">
        <f>9-4</f>
        <v>5</v>
      </c>
      <c r="BV21" s="8">
        <v>87</v>
      </c>
      <c r="BW21" s="23">
        <f>28-28</f>
        <v>0</v>
      </c>
      <c r="BX21" s="8">
        <v>44</v>
      </c>
      <c r="BY21" s="8">
        <v>43</v>
      </c>
      <c r="BZ21" s="8">
        <v>52</v>
      </c>
      <c r="CA21" s="8">
        <v>4</v>
      </c>
      <c r="CB21" s="23">
        <f t="shared" si="4"/>
        <v>39</v>
      </c>
      <c r="CC21" s="8">
        <v>1</v>
      </c>
      <c r="CD21" s="23">
        <f>38-24</f>
        <v>14</v>
      </c>
      <c r="CE21" s="8">
        <v>38</v>
      </c>
      <c r="CF21" s="23">
        <f>28-36</f>
        <v>-8</v>
      </c>
      <c r="CG21" s="8">
        <v>36</v>
      </c>
      <c r="CH21" s="20">
        <v>-3</v>
      </c>
      <c r="CI21" s="23">
        <f>25-34</f>
        <v>-9</v>
      </c>
      <c r="CJ21" s="8">
        <v>40</v>
      </c>
      <c r="CK21" s="23">
        <f>13-1</f>
        <v>12</v>
      </c>
      <c r="CL21" s="8">
        <v>87</v>
      </c>
      <c r="CM21" s="23">
        <f>19-25</f>
        <v>-6</v>
      </c>
      <c r="CN21" s="8">
        <v>56</v>
      </c>
      <c r="CO21" s="8">
        <v>46</v>
      </c>
      <c r="CP21" s="8">
        <v>52</v>
      </c>
      <c r="CQ21" s="8">
        <v>0</v>
      </c>
      <c r="CR21" s="23">
        <f t="shared" si="5"/>
        <v>46</v>
      </c>
      <c r="CS21" s="8">
        <v>2</v>
      </c>
      <c r="CT21" s="23">
        <f>49-21</f>
        <v>28</v>
      </c>
      <c r="CU21" s="8">
        <v>30</v>
      </c>
      <c r="CV21" s="23">
        <f>51-20</f>
        <v>31</v>
      </c>
      <c r="CW21" s="8">
        <v>29</v>
      </c>
      <c r="CX21" s="20">
        <v>1.2</v>
      </c>
      <c r="CY21" s="23">
        <f>31-31</f>
        <v>0</v>
      </c>
      <c r="CZ21" s="8">
        <v>37</v>
      </c>
      <c r="DA21" s="23">
        <f>11-7</f>
        <v>4</v>
      </c>
      <c r="DB21" s="8">
        <v>82</v>
      </c>
      <c r="DC21" s="23">
        <f>30-27</f>
        <v>3</v>
      </c>
      <c r="DD21" s="8">
        <v>43</v>
      </c>
      <c r="DE21" s="8">
        <v>52</v>
      </c>
      <c r="DF21" s="8">
        <v>47</v>
      </c>
      <c r="DG21" s="8">
        <v>0</v>
      </c>
      <c r="DH21" s="23">
        <f t="shared" si="6"/>
        <v>52</v>
      </c>
      <c r="DI21" s="8">
        <v>0</v>
      </c>
      <c r="DJ21" s="23">
        <f>55-17</f>
        <v>38</v>
      </c>
      <c r="DK21" s="8">
        <v>28</v>
      </c>
      <c r="DL21" s="23">
        <f>32-30</f>
        <v>2</v>
      </c>
      <c r="DM21" s="8">
        <v>38</v>
      </c>
      <c r="DN21" s="20">
        <v>-0.4</v>
      </c>
      <c r="DO21" s="23">
        <f>25-39</f>
        <v>-14</v>
      </c>
      <c r="DP21" s="8">
        <v>36</v>
      </c>
      <c r="DQ21" s="23">
        <f>11-2</f>
        <v>9</v>
      </c>
      <c r="DR21" s="8">
        <v>87</v>
      </c>
      <c r="DS21" s="23">
        <f>7-52</f>
        <v>-45</v>
      </c>
      <c r="DT21" s="8">
        <v>40</v>
      </c>
      <c r="DU21" s="8">
        <v>46</v>
      </c>
      <c r="DV21" s="8">
        <v>53</v>
      </c>
      <c r="DW21" s="8">
        <v>1</v>
      </c>
      <c r="DX21" s="23">
        <f t="shared" si="7"/>
        <v>45</v>
      </c>
      <c r="DY21" s="8">
        <v>0</v>
      </c>
      <c r="DZ21" s="23">
        <f>45-21</f>
        <v>24</v>
      </c>
      <c r="EA21" s="8">
        <v>34</v>
      </c>
      <c r="EB21" s="23">
        <f>33-26</f>
        <v>7</v>
      </c>
      <c r="EC21" s="8">
        <v>41</v>
      </c>
      <c r="ED21" s="20">
        <v>-0.9</v>
      </c>
      <c r="EE21" s="23">
        <f>25-26</f>
        <v>-1</v>
      </c>
      <c r="EF21" s="8">
        <v>48</v>
      </c>
      <c r="EG21" s="23">
        <f>9-3</f>
        <v>6</v>
      </c>
      <c r="EH21" s="8">
        <v>88</v>
      </c>
      <c r="EI21" s="23">
        <f>24-23</f>
        <v>1</v>
      </c>
      <c r="EJ21" s="8">
        <v>53</v>
      </c>
      <c r="EK21" s="8">
        <v>28</v>
      </c>
      <c r="EL21" s="8">
        <v>71</v>
      </c>
      <c r="EM21" s="8">
        <v>1</v>
      </c>
      <c r="EN21" s="23">
        <f t="shared" si="8"/>
        <v>27</v>
      </c>
      <c r="EO21" s="8">
        <v>0</v>
      </c>
      <c r="EP21" s="23">
        <f>49-19</f>
        <v>30</v>
      </c>
      <c r="EQ21" s="8">
        <v>32</v>
      </c>
      <c r="ER21" s="23">
        <f>40-27</f>
        <v>13</v>
      </c>
      <c r="ES21" s="8">
        <v>33</v>
      </c>
      <c r="ET21" s="20">
        <v>0.7</v>
      </c>
      <c r="EU21" s="23">
        <f>29-29</f>
        <v>0</v>
      </c>
      <c r="EV21" s="8">
        <v>42</v>
      </c>
      <c r="EW21" s="23">
        <f>12-3</f>
        <v>9</v>
      </c>
      <c r="EX21" s="8">
        <v>85</v>
      </c>
      <c r="EY21" s="23">
        <f>26-28</f>
        <v>-2</v>
      </c>
      <c r="EZ21" s="8">
        <v>46</v>
      </c>
      <c r="FA21" s="8">
        <v>49</v>
      </c>
      <c r="FB21" s="8">
        <v>50</v>
      </c>
      <c r="FC21" s="8">
        <v>1</v>
      </c>
      <c r="FD21" s="23">
        <f t="shared" si="9"/>
        <v>48</v>
      </c>
      <c r="FE21" s="8">
        <v>0</v>
      </c>
      <c r="FF21" s="23">
        <f>45-25</f>
        <v>20</v>
      </c>
      <c r="FG21" s="8">
        <v>30</v>
      </c>
      <c r="FH21" s="23">
        <f>34-35</f>
        <v>-1</v>
      </c>
      <c r="FI21" s="8">
        <v>31</v>
      </c>
      <c r="FJ21" s="20">
        <v>-0.663</v>
      </c>
      <c r="FK21" s="23">
        <f>23-35</f>
        <v>-12</v>
      </c>
      <c r="FL21" s="8">
        <v>42</v>
      </c>
      <c r="FM21" s="23">
        <f>11-4</f>
        <v>7</v>
      </c>
      <c r="FN21" s="8">
        <v>86</v>
      </c>
      <c r="FO21" s="23">
        <f>23-30</f>
        <v>-7</v>
      </c>
      <c r="FP21" s="8">
        <v>47</v>
      </c>
      <c r="FQ21" s="22" t="s">
        <v>1</v>
      </c>
      <c r="FR21" s="22" t="s">
        <v>1</v>
      </c>
      <c r="FS21" s="22" t="s">
        <v>1</v>
      </c>
      <c r="FT21" s="111" t="s">
        <v>1</v>
      </c>
      <c r="FU21" s="22" t="s">
        <v>1</v>
      </c>
    </row>
    <row r="22" spans="1:177" ht="12">
      <c r="A22" s="1" t="s">
        <v>9</v>
      </c>
      <c r="B22" s="24">
        <f aca="true" t="shared" si="10" ref="B22:O22">AVERAGE(B18:B21)</f>
        <v>-9.75</v>
      </c>
      <c r="C22" s="13">
        <f t="shared" si="10"/>
        <v>33</v>
      </c>
      <c r="D22" s="24">
        <f t="shared" si="10"/>
        <v>17.5</v>
      </c>
      <c r="E22" s="13">
        <f t="shared" si="10"/>
        <v>27.25</v>
      </c>
      <c r="F22" s="21">
        <f t="shared" si="10"/>
        <v>0.55</v>
      </c>
      <c r="G22" s="24">
        <f t="shared" si="10"/>
        <v>15.75</v>
      </c>
      <c r="H22" s="13">
        <f t="shared" si="10"/>
        <v>40.5</v>
      </c>
      <c r="I22" s="24">
        <f t="shared" si="10"/>
        <v>6</v>
      </c>
      <c r="J22" s="13">
        <f t="shared" si="10"/>
        <v>87</v>
      </c>
      <c r="K22" s="24">
        <f t="shared" si="10"/>
        <v>22</v>
      </c>
      <c r="L22" s="13">
        <f t="shared" si="10"/>
        <v>41.5</v>
      </c>
      <c r="M22" s="13">
        <f t="shared" si="10"/>
        <v>51</v>
      </c>
      <c r="N22" s="13">
        <f t="shared" si="10"/>
        <v>46</v>
      </c>
      <c r="O22" s="13">
        <f t="shared" si="10"/>
        <v>2.75</v>
      </c>
      <c r="P22" s="24">
        <f t="shared" si="0"/>
        <v>48.25</v>
      </c>
      <c r="Q22" s="13">
        <f aca="true" t="shared" si="11" ref="Q22:AE22">AVERAGE(Q18:Q21)</f>
        <v>0.25</v>
      </c>
      <c r="R22" s="24">
        <f t="shared" si="11"/>
        <v>-2.5</v>
      </c>
      <c r="S22" s="13">
        <f t="shared" si="11"/>
        <v>36.5</v>
      </c>
      <c r="T22" s="24">
        <f t="shared" si="11"/>
        <v>23.75</v>
      </c>
      <c r="U22" s="13">
        <f t="shared" si="11"/>
        <v>34.75</v>
      </c>
      <c r="V22" s="21">
        <f t="shared" si="11"/>
        <v>1.775</v>
      </c>
      <c r="W22" s="24">
        <f t="shared" si="11"/>
        <v>30.5</v>
      </c>
      <c r="X22" s="13">
        <f t="shared" si="11"/>
        <v>39.5</v>
      </c>
      <c r="Y22" s="24">
        <f t="shared" si="11"/>
        <v>10.25</v>
      </c>
      <c r="Z22" s="13">
        <f t="shared" si="11"/>
        <v>83</v>
      </c>
      <c r="AA22" s="24">
        <f t="shared" si="11"/>
        <v>24.25</v>
      </c>
      <c r="AB22" s="13">
        <f t="shared" si="11"/>
        <v>42.25</v>
      </c>
      <c r="AC22" s="13">
        <f t="shared" si="11"/>
        <v>53</v>
      </c>
      <c r="AD22" s="13">
        <f t="shared" si="11"/>
        <v>46.25</v>
      </c>
      <c r="AE22" s="13">
        <f t="shared" si="11"/>
        <v>0.25</v>
      </c>
      <c r="AF22" s="24">
        <f t="shared" si="1"/>
        <v>52.75</v>
      </c>
      <c r="AG22" s="13">
        <f aca="true" t="shared" si="12" ref="AG22:AU22">AVERAGE(AG18:AG21)</f>
        <v>0.75</v>
      </c>
      <c r="AH22" s="24">
        <f t="shared" si="12"/>
        <v>-2</v>
      </c>
      <c r="AI22" s="13">
        <f t="shared" si="12"/>
        <v>28.75</v>
      </c>
      <c r="AJ22" s="24">
        <f t="shared" si="12"/>
        <v>19</v>
      </c>
      <c r="AK22" s="13">
        <f t="shared" si="12"/>
        <v>30</v>
      </c>
      <c r="AL22" s="21">
        <f t="shared" si="12"/>
        <v>0.55</v>
      </c>
      <c r="AM22" s="24">
        <f t="shared" si="12"/>
        <v>22.75</v>
      </c>
      <c r="AN22" s="13">
        <f t="shared" si="12"/>
        <v>37.5</v>
      </c>
      <c r="AO22" s="24">
        <f t="shared" si="12"/>
        <v>9.25</v>
      </c>
      <c r="AP22" s="13">
        <f t="shared" si="12"/>
        <v>85.5</v>
      </c>
      <c r="AQ22" s="24">
        <f t="shared" si="12"/>
        <v>15.75</v>
      </c>
      <c r="AR22" s="13">
        <f t="shared" si="12"/>
        <v>41</v>
      </c>
      <c r="AS22" s="13">
        <f t="shared" si="12"/>
        <v>50.75</v>
      </c>
      <c r="AT22" s="13">
        <f t="shared" si="12"/>
        <v>48</v>
      </c>
      <c r="AU22" s="13">
        <f t="shared" si="12"/>
        <v>1.25</v>
      </c>
      <c r="AV22" s="24">
        <f t="shared" si="2"/>
        <v>49.5</v>
      </c>
      <c r="AW22" s="13">
        <f aca="true" t="shared" si="13" ref="AW22:BK22">AVERAGE(AW18:AW21)</f>
        <v>0</v>
      </c>
      <c r="AX22" s="24">
        <f t="shared" si="13"/>
        <v>-1.25</v>
      </c>
      <c r="AY22" s="13">
        <f t="shared" si="13"/>
        <v>31.75</v>
      </c>
      <c r="AZ22" s="24">
        <f t="shared" si="13"/>
        <v>14.25</v>
      </c>
      <c r="BA22" s="13">
        <f t="shared" si="13"/>
        <v>30.5</v>
      </c>
      <c r="BB22" s="21">
        <f t="shared" si="13"/>
        <v>0.8</v>
      </c>
      <c r="BC22" s="24">
        <f t="shared" si="13"/>
        <v>21.75</v>
      </c>
      <c r="BD22" s="13">
        <f t="shared" si="13"/>
        <v>34.25</v>
      </c>
      <c r="BE22" s="24">
        <f t="shared" si="13"/>
        <v>12.25</v>
      </c>
      <c r="BF22" s="13">
        <f t="shared" si="13"/>
        <v>81.25</v>
      </c>
      <c r="BG22" s="24">
        <f t="shared" si="13"/>
        <v>18</v>
      </c>
      <c r="BH22" s="13">
        <f t="shared" si="13"/>
        <v>41</v>
      </c>
      <c r="BI22" s="13">
        <f t="shared" si="13"/>
        <v>50</v>
      </c>
      <c r="BJ22" s="13">
        <f t="shared" si="13"/>
        <v>48</v>
      </c>
      <c r="BK22" s="13">
        <f t="shared" si="13"/>
        <v>1.75</v>
      </c>
      <c r="BL22" s="24">
        <f t="shared" si="3"/>
        <v>48.25</v>
      </c>
      <c r="BM22" s="13">
        <f aca="true" t="shared" si="14" ref="BM22:CA22">AVERAGE(BM18:BM21)</f>
        <v>0</v>
      </c>
      <c r="BN22" s="24">
        <f t="shared" si="14"/>
        <v>-5.25</v>
      </c>
      <c r="BO22" s="13">
        <f t="shared" si="14"/>
        <v>37.5</v>
      </c>
      <c r="BP22" s="24">
        <f t="shared" si="14"/>
        <v>8.5</v>
      </c>
      <c r="BQ22" s="13">
        <f t="shared" si="14"/>
        <v>35.75</v>
      </c>
      <c r="BR22" s="21">
        <f t="shared" si="14"/>
        <v>-0.225</v>
      </c>
      <c r="BS22" s="24">
        <f t="shared" si="14"/>
        <v>21.5</v>
      </c>
      <c r="BT22" s="13">
        <f t="shared" si="14"/>
        <v>34</v>
      </c>
      <c r="BU22" s="24">
        <f t="shared" si="14"/>
        <v>9</v>
      </c>
      <c r="BV22" s="13">
        <f t="shared" si="14"/>
        <v>85.5</v>
      </c>
      <c r="BW22" s="24">
        <f t="shared" si="14"/>
        <v>10</v>
      </c>
      <c r="BX22" s="13">
        <f t="shared" si="14"/>
        <v>44</v>
      </c>
      <c r="BY22" s="13">
        <f t="shared" si="14"/>
        <v>43.75</v>
      </c>
      <c r="BZ22" s="13">
        <f t="shared" si="14"/>
        <v>54</v>
      </c>
      <c r="CA22" s="13">
        <f t="shared" si="14"/>
        <v>1.75</v>
      </c>
      <c r="CB22" s="24">
        <f t="shared" si="4"/>
        <v>42</v>
      </c>
      <c r="CC22" s="13">
        <f aca="true" t="shared" si="15" ref="CC22:CQ22">AVERAGE(CC18:CC21)</f>
        <v>0.75</v>
      </c>
      <c r="CD22" s="24">
        <f t="shared" si="15"/>
        <v>-4</v>
      </c>
      <c r="CE22" s="13">
        <f t="shared" si="15"/>
        <v>33.25</v>
      </c>
      <c r="CF22" s="24">
        <f t="shared" si="15"/>
        <v>22.5</v>
      </c>
      <c r="CG22" s="13">
        <f t="shared" si="15"/>
        <v>25</v>
      </c>
      <c r="CH22" s="21">
        <f t="shared" si="15"/>
        <v>0.17500000000000004</v>
      </c>
      <c r="CI22" s="24">
        <f t="shared" si="15"/>
        <v>23.75</v>
      </c>
      <c r="CJ22" s="13">
        <f t="shared" si="15"/>
        <v>35.75</v>
      </c>
      <c r="CK22" s="24">
        <f t="shared" si="15"/>
        <v>7.75</v>
      </c>
      <c r="CL22" s="13">
        <f t="shared" si="15"/>
        <v>88</v>
      </c>
      <c r="CM22" s="24">
        <f t="shared" si="15"/>
        <v>25.5</v>
      </c>
      <c r="CN22" s="13">
        <f t="shared" si="15"/>
        <v>43.75</v>
      </c>
      <c r="CO22" s="13">
        <f t="shared" si="15"/>
        <v>43.75</v>
      </c>
      <c r="CP22" s="13">
        <f t="shared" si="15"/>
        <v>53.75</v>
      </c>
      <c r="CQ22" s="13">
        <f t="shared" si="15"/>
        <v>1.75</v>
      </c>
      <c r="CR22" s="24">
        <f t="shared" si="5"/>
        <v>42</v>
      </c>
      <c r="CS22" s="13">
        <f aca="true" t="shared" si="16" ref="CS22:DG22">AVERAGE(CS18:CS21)</f>
        <v>0.75</v>
      </c>
      <c r="CT22" s="24">
        <f t="shared" si="16"/>
        <v>-5</v>
      </c>
      <c r="CU22" s="13">
        <f t="shared" si="16"/>
        <v>32</v>
      </c>
      <c r="CV22" s="24">
        <f t="shared" si="16"/>
        <v>14.25</v>
      </c>
      <c r="CW22" s="13">
        <f t="shared" si="16"/>
        <v>29.25</v>
      </c>
      <c r="CX22" s="21">
        <f t="shared" si="16"/>
        <v>-0.17500000000000004</v>
      </c>
      <c r="CY22" s="24">
        <f t="shared" si="16"/>
        <v>25.75</v>
      </c>
      <c r="CZ22" s="13">
        <f t="shared" si="16"/>
        <v>37</v>
      </c>
      <c r="DA22" s="24">
        <f t="shared" si="16"/>
        <v>13.75</v>
      </c>
      <c r="DB22" s="13">
        <f t="shared" si="16"/>
        <v>75</v>
      </c>
      <c r="DC22" s="24">
        <f t="shared" si="16"/>
        <v>20.75</v>
      </c>
      <c r="DD22" s="13">
        <f t="shared" si="16"/>
        <v>37.25</v>
      </c>
      <c r="DE22" s="13">
        <f t="shared" si="16"/>
        <v>47.25</v>
      </c>
      <c r="DF22" s="13">
        <f t="shared" si="16"/>
        <v>49.5</v>
      </c>
      <c r="DG22" s="13">
        <f t="shared" si="16"/>
        <v>2.25</v>
      </c>
      <c r="DH22" s="24">
        <f t="shared" si="6"/>
        <v>45</v>
      </c>
      <c r="DI22" s="13">
        <f aca="true" t="shared" si="17" ref="DI22:DW22">AVERAGE(DI18:DI21)</f>
        <v>1.25</v>
      </c>
      <c r="DJ22" s="24">
        <f t="shared" si="17"/>
        <v>-3</v>
      </c>
      <c r="DK22" s="13">
        <f t="shared" si="17"/>
        <v>32</v>
      </c>
      <c r="DL22" s="24">
        <f t="shared" si="17"/>
        <v>13</v>
      </c>
      <c r="DM22" s="13">
        <f t="shared" si="17"/>
        <v>38</v>
      </c>
      <c r="DN22" s="21">
        <f t="shared" si="17"/>
        <v>-0.22500000000000006</v>
      </c>
      <c r="DO22" s="24">
        <f t="shared" si="17"/>
        <v>18</v>
      </c>
      <c r="DP22" s="13">
        <f t="shared" si="17"/>
        <v>39</v>
      </c>
      <c r="DQ22" s="24">
        <f t="shared" si="17"/>
        <v>3.75</v>
      </c>
      <c r="DR22" s="13">
        <f t="shared" si="17"/>
        <v>87.75</v>
      </c>
      <c r="DS22" s="24">
        <f t="shared" si="17"/>
        <v>10.25</v>
      </c>
      <c r="DT22" s="13">
        <f t="shared" si="17"/>
        <v>48.75</v>
      </c>
      <c r="DU22" s="13">
        <f t="shared" si="17"/>
        <v>43.75</v>
      </c>
      <c r="DV22" s="13">
        <f t="shared" si="17"/>
        <v>54.75</v>
      </c>
      <c r="DW22" s="13">
        <f t="shared" si="17"/>
        <v>0.75</v>
      </c>
      <c r="DX22" s="24">
        <f t="shared" si="7"/>
        <v>43</v>
      </c>
      <c r="DY22" s="13">
        <f aca="true" t="shared" si="18" ref="DY22:EM22">AVERAGE(DY18:DY21)</f>
        <v>0.75</v>
      </c>
      <c r="DZ22" s="24">
        <f t="shared" si="18"/>
        <v>5</v>
      </c>
      <c r="EA22" s="13">
        <f t="shared" si="18"/>
        <v>42.25</v>
      </c>
      <c r="EB22" s="24">
        <f t="shared" si="18"/>
        <v>13.5</v>
      </c>
      <c r="EC22" s="13">
        <f t="shared" si="18"/>
        <v>43.75</v>
      </c>
      <c r="ED22" s="21">
        <f t="shared" si="18"/>
        <v>-0.1</v>
      </c>
      <c r="EE22" s="24">
        <f t="shared" si="18"/>
        <v>20.25</v>
      </c>
      <c r="EF22" s="13">
        <f t="shared" si="18"/>
        <v>38.5</v>
      </c>
      <c r="EG22" s="24">
        <f t="shared" si="18"/>
        <v>4.75</v>
      </c>
      <c r="EH22" s="13">
        <f t="shared" si="18"/>
        <v>85.5</v>
      </c>
      <c r="EI22" s="24">
        <f t="shared" si="18"/>
        <v>18</v>
      </c>
      <c r="EJ22" s="13">
        <f t="shared" si="18"/>
        <v>45.75</v>
      </c>
      <c r="EK22" s="13">
        <f t="shared" si="18"/>
        <v>40.75</v>
      </c>
      <c r="EL22" s="13">
        <f t="shared" si="18"/>
        <v>56.75</v>
      </c>
      <c r="EM22" s="13">
        <f t="shared" si="18"/>
        <v>2.25</v>
      </c>
      <c r="EN22" s="24">
        <f t="shared" si="8"/>
        <v>38.5</v>
      </c>
      <c r="EO22" s="13">
        <f aca="true" t="shared" si="19" ref="EO22:FC22">AVERAGE(EO18:EO21)</f>
        <v>0</v>
      </c>
      <c r="EP22" s="24">
        <f t="shared" si="19"/>
        <v>-4.25</v>
      </c>
      <c r="EQ22" s="13">
        <f t="shared" si="19"/>
        <v>33.5</v>
      </c>
      <c r="ER22" s="24">
        <f t="shared" si="19"/>
        <v>16</v>
      </c>
      <c r="ES22" s="13">
        <f t="shared" si="19"/>
        <v>32</v>
      </c>
      <c r="ET22" s="21">
        <f t="shared" si="19"/>
        <v>0.425</v>
      </c>
      <c r="EU22" s="24">
        <f t="shared" si="19"/>
        <v>21.5</v>
      </c>
      <c r="EV22" s="13">
        <f t="shared" si="19"/>
        <v>37.75</v>
      </c>
      <c r="EW22" s="24">
        <f t="shared" si="19"/>
        <v>8.75</v>
      </c>
      <c r="EX22" s="13">
        <f t="shared" si="19"/>
        <v>84.5</v>
      </c>
      <c r="EY22" s="24">
        <f t="shared" si="19"/>
        <v>18.75</v>
      </c>
      <c r="EZ22" s="13">
        <f t="shared" si="19"/>
        <v>42.25</v>
      </c>
      <c r="FA22" s="13">
        <f t="shared" si="19"/>
        <v>48</v>
      </c>
      <c r="FB22" s="13">
        <f t="shared" si="19"/>
        <v>50</v>
      </c>
      <c r="FC22" s="13">
        <f t="shared" si="19"/>
        <v>1.75</v>
      </c>
      <c r="FD22" s="24">
        <f t="shared" si="9"/>
        <v>46.25</v>
      </c>
      <c r="FE22" s="13">
        <f>AVERAGE(FE18:FE21)</f>
        <v>0.25</v>
      </c>
      <c r="FF22" s="24">
        <f aca="true" t="shared" si="20" ref="FF22:FP22">AVERAGE(FF18:FF21)</f>
        <v>-8.75</v>
      </c>
      <c r="FG22" s="13">
        <f t="shared" si="20"/>
        <v>33.25</v>
      </c>
      <c r="FH22" s="24">
        <f t="shared" si="20"/>
        <v>2</v>
      </c>
      <c r="FI22" s="13">
        <f t="shared" si="20"/>
        <v>32.75</v>
      </c>
      <c r="FJ22" s="21">
        <f t="shared" si="20"/>
        <v>-0.742</v>
      </c>
      <c r="FK22" s="24">
        <f t="shared" si="20"/>
        <v>18.25</v>
      </c>
      <c r="FL22" s="13">
        <f t="shared" si="20"/>
        <v>37.75</v>
      </c>
      <c r="FM22" s="24">
        <f t="shared" si="20"/>
        <v>10.75</v>
      </c>
      <c r="FN22" s="13">
        <f t="shared" si="20"/>
        <v>81.25</v>
      </c>
      <c r="FO22" s="24">
        <f t="shared" si="20"/>
        <v>11.5</v>
      </c>
      <c r="FP22" s="13">
        <f t="shared" si="20"/>
        <v>42.75</v>
      </c>
      <c r="FQ22" s="22" t="s">
        <v>1</v>
      </c>
      <c r="FR22" s="22" t="s">
        <v>1</v>
      </c>
      <c r="FS22" s="22" t="s">
        <v>1</v>
      </c>
      <c r="FT22" s="111" t="s">
        <v>1</v>
      </c>
      <c r="FU22" s="22" t="s">
        <v>1</v>
      </c>
    </row>
    <row r="23" spans="1:177" ht="12">
      <c r="A23" s="1" t="s">
        <v>42</v>
      </c>
      <c r="B23" s="23">
        <f>10-73</f>
        <v>-63</v>
      </c>
      <c r="C23" s="8">
        <v>17</v>
      </c>
      <c r="D23" s="23">
        <f>45-30</f>
        <v>15</v>
      </c>
      <c r="E23" s="8">
        <v>25</v>
      </c>
      <c r="F23" s="20">
        <v>-0.7</v>
      </c>
      <c r="G23" s="23">
        <f>42-21</f>
        <v>21</v>
      </c>
      <c r="H23" s="8">
        <v>38</v>
      </c>
      <c r="I23" s="23">
        <f>23-0</f>
        <v>23</v>
      </c>
      <c r="J23" s="8">
        <v>77</v>
      </c>
      <c r="K23" s="23">
        <f>35-17</f>
        <v>18</v>
      </c>
      <c r="L23" s="8">
        <v>49</v>
      </c>
      <c r="M23" s="8">
        <v>60</v>
      </c>
      <c r="N23" s="8">
        <v>40</v>
      </c>
      <c r="O23" s="8">
        <v>1</v>
      </c>
      <c r="P23" s="23">
        <f t="shared" si="0"/>
        <v>59</v>
      </c>
      <c r="Q23" s="8">
        <v>0</v>
      </c>
      <c r="R23" s="23">
        <f>8-76</f>
        <v>-68</v>
      </c>
      <c r="S23" s="8">
        <v>16</v>
      </c>
      <c r="T23" s="23">
        <f>53-25</f>
        <v>28</v>
      </c>
      <c r="U23" s="8">
        <v>21</v>
      </c>
      <c r="V23" s="20">
        <v>1.3</v>
      </c>
      <c r="W23" s="23">
        <f>46-28</f>
        <v>18</v>
      </c>
      <c r="X23" s="8">
        <v>26</v>
      </c>
      <c r="Y23" s="23">
        <f>16-5</f>
        <v>11</v>
      </c>
      <c r="Z23" s="8">
        <v>79</v>
      </c>
      <c r="AA23" s="23">
        <f>40-26</f>
        <v>14</v>
      </c>
      <c r="AB23" s="8">
        <v>34</v>
      </c>
      <c r="AC23" s="8">
        <f>54-0</f>
        <v>54</v>
      </c>
      <c r="AD23" s="8">
        <v>46</v>
      </c>
      <c r="AE23" s="8">
        <v>0</v>
      </c>
      <c r="AF23" s="23">
        <f t="shared" si="1"/>
        <v>54</v>
      </c>
      <c r="AG23" s="8">
        <v>0</v>
      </c>
      <c r="AH23" s="23">
        <f>9-53</f>
        <v>-44</v>
      </c>
      <c r="AI23" s="8">
        <v>38</v>
      </c>
      <c r="AJ23" s="23">
        <f>54-19</f>
        <v>35</v>
      </c>
      <c r="AK23" s="8">
        <v>27</v>
      </c>
      <c r="AL23" s="20">
        <v>1.8</v>
      </c>
      <c r="AM23" s="23">
        <f>53-11</f>
        <v>42</v>
      </c>
      <c r="AN23" s="8">
        <v>36</v>
      </c>
      <c r="AO23" s="23">
        <f>27-2</f>
        <v>25</v>
      </c>
      <c r="AP23" s="8">
        <v>72</v>
      </c>
      <c r="AQ23" s="23">
        <f>44-7</f>
        <v>37</v>
      </c>
      <c r="AR23" s="8">
        <v>50</v>
      </c>
      <c r="AS23" s="8">
        <f>36-0</f>
        <v>36</v>
      </c>
      <c r="AT23" s="8">
        <v>64</v>
      </c>
      <c r="AU23" s="8">
        <v>0</v>
      </c>
      <c r="AV23" s="23">
        <f t="shared" si="2"/>
        <v>36</v>
      </c>
      <c r="AW23" s="8">
        <v>0</v>
      </c>
      <c r="AX23" s="23">
        <f>7-70</f>
        <v>-63</v>
      </c>
      <c r="AY23" s="8">
        <v>23</v>
      </c>
      <c r="AZ23" s="23">
        <f>49-21</f>
        <v>28</v>
      </c>
      <c r="BA23" s="8">
        <v>30</v>
      </c>
      <c r="BB23" s="20">
        <v>1.3</v>
      </c>
      <c r="BC23" s="23">
        <f>53-14</f>
        <v>39</v>
      </c>
      <c r="BD23" s="8">
        <v>33</v>
      </c>
      <c r="BE23" s="23">
        <f>10-4</f>
        <v>6</v>
      </c>
      <c r="BF23" s="8">
        <v>86</v>
      </c>
      <c r="BG23" s="23">
        <f>45-15</f>
        <v>30</v>
      </c>
      <c r="BH23" s="8">
        <v>40</v>
      </c>
      <c r="BI23" s="8">
        <v>51</v>
      </c>
      <c r="BJ23" s="8">
        <v>48</v>
      </c>
      <c r="BK23" s="8">
        <v>0</v>
      </c>
      <c r="BL23" s="23">
        <f t="shared" si="3"/>
        <v>51</v>
      </c>
      <c r="BM23" s="8">
        <v>0</v>
      </c>
      <c r="BN23" s="23">
        <f>4-72</f>
        <v>-68</v>
      </c>
      <c r="BO23" s="8">
        <v>24</v>
      </c>
      <c r="BP23" s="23">
        <f>34-34</f>
        <v>0</v>
      </c>
      <c r="BQ23" s="8">
        <v>33</v>
      </c>
      <c r="BR23" s="20">
        <v>-1.4</v>
      </c>
      <c r="BS23" s="23">
        <f>35-25</f>
        <v>10</v>
      </c>
      <c r="BT23" s="8">
        <v>39</v>
      </c>
      <c r="BU23" s="23">
        <f>24-7</f>
        <v>17</v>
      </c>
      <c r="BV23" s="8">
        <v>69</v>
      </c>
      <c r="BW23" s="23">
        <f>21-27</f>
        <v>-6</v>
      </c>
      <c r="BX23" s="8">
        <v>52</v>
      </c>
      <c r="BY23" s="8">
        <v>36</v>
      </c>
      <c r="BZ23" s="8">
        <v>61</v>
      </c>
      <c r="CA23" s="8">
        <v>2</v>
      </c>
      <c r="CB23" s="23">
        <f t="shared" si="4"/>
        <v>34</v>
      </c>
      <c r="CC23" s="8">
        <v>1</v>
      </c>
      <c r="CD23" s="23">
        <f>7-59</f>
        <v>-52</v>
      </c>
      <c r="CE23" s="8">
        <v>35</v>
      </c>
      <c r="CF23" s="23">
        <f>40-19</f>
        <v>21</v>
      </c>
      <c r="CG23" s="8">
        <v>40</v>
      </c>
      <c r="CH23" s="20">
        <v>0.2</v>
      </c>
      <c r="CI23" s="23">
        <f>30-24</f>
        <v>6</v>
      </c>
      <c r="CJ23" s="8">
        <v>46</v>
      </c>
      <c r="CK23" s="23">
        <f>5-7</f>
        <v>-2</v>
      </c>
      <c r="CL23" s="8">
        <v>88</v>
      </c>
      <c r="CM23" s="23">
        <f>36-10</f>
        <v>26</v>
      </c>
      <c r="CN23" s="8">
        <v>54</v>
      </c>
      <c r="CO23" s="8">
        <v>46</v>
      </c>
      <c r="CP23" s="8">
        <v>52</v>
      </c>
      <c r="CQ23" s="8">
        <v>2</v>
      </c>
      <c r="CR23" s="23">
        <f t="shared" si="5"/>
        <v>44</v>
      </c>
      <c r="CS23" s="8">
        <v>1</v>
      </c>
      <c r="CT23" s="23">
        <f>6-57</f>
        <v>-51</v>
      </c>
      <c r="CU23" s="8">
        <v>37</v>
      </c>
      <c r="CV23" s="23">
        <f>44-28</f>
        <v>16</v>
      </c>
      <c r="CW23" s="8">
        <v>28</v>
      </c>
      <c r="CX23" s="20">
        <v>-0.2</v>
      </c>
      <c r="CY23" s="23">
        <f>50-4</f>
        <v>46</v>
      </c>
      <c r="CZ23" s="8">
        <v>46</v>
      </c>
      <c r="DA23" s="23">
        <f>19-2</f>
        <v>17</v>
      </c>
      <c r="DB23" s="8">
        <v>79</v>
      </c>
      <c r="DC23" s="23">
        <f>29-9</f>
        <v>20</v>
      </c>
      <c r="DD23" s="8">
        <v>62</v>
      </c>
      <c r="DE23" s="8">
        <v>40</v>
      </c>
      <c r="DF23" s="8">
        <v>60</v>
      </c>
      <c r="DG23" s="8">
        <v>0</v>
      </c>
      <c r="DH23" s="23">
        <f t="shared" si="6"/>
        <v>40</v>
      </c>
      <c r="DI23" s="8">
        <v>0</v>
      </c>
      <c r="DJ23" s="23">
        <f>5-76</f>
        <v>-71</v>
      </c>
      <c r="DK23" s="8">
        <v>19</v>
      </c>
      <c r="DL23" s="23">
        <f>60-20</f>
        <v>40</v>
      </c>
      <c r="DM23" s="8">
        <v>20</v>
      </c>
      <c r="DN23" s="20">
        <v>1.4</v>
      </c>
      <c r="DO23" s="23">
        <f>45-20</f>
        <v>25</v>
      </c>
      <c r="DP23" s="8">
        <v>35</v>
      </c>
      <c r="DQ23" s="23">
        <f>15-2</f>
        <v>13</v>
      </c>
      <c r="DR23" s="8">
        <v>83</v>
      </c>
      <c r="DS23" s="23">
        <f>44-23</f>
        <v>21</v>
      </c>
      <c r="DT23" s="8">
        <v>33</v>
      </c>
      <c r="DU23" s="8">
        <v>52</v>
      </c>
      <c r="DV23" s="8">
        <v>47</v>
      </c>
      <c r="DW23" s="8">
        <v>1</v>
      </c>
      <c r="DX23" s="23">
        <f t="shared" si="7"/>
        <v>51</v>
      </c>
      <c r="DY23" s="8">
        <v>0</v>
      </c>
      <c r="DZ23" s="23">
        <f>10-70</f>
        <v>-60</v>
      </c>
      <c r="EA23" s="8">
        <v>20</v>
      </c>
      <c r="EB23" s="23">
        <f>36-40</f>
        <v>-4</v>
      </c>
      <c r="EC23" s="8">
        <v>25</v>
      </c>
      <c r="ED23" s="20">
        <v>-1.6</v>
      </c>
      <c r="EE23" s="23">
        <f>49-27</f>
        <v>22</v>
      </c>
      <c r="EF23" s="8">
        <v>24</v>
      </c>
      <c r="EG23" s="23">
        <f>17-2</f>
        <v>15</v>
      </c>
      <c r="EH23" s="8">
        <v>82</v>
      </c>
      <c r="EI23" s="23">
        <f>21-17</f>
        <v>4</v>
      </c>
      <c r="EJ23" s="8">
        <v>61</v>
      </c>
      <c r="EK23" s="8">
        <v>41</v>
      </c>
      <c r="EL23" s="8">
        <v>59</v>
      </c>
      <c r="EM23" s="8">
        <v>0</v>
      </c>
      <c r="EN23" s="23">
        <f t="shared" si="8"/>
        <v>41</v>
      </c>
      <c r="EO23" s="8">
        <v>0</v>
      </c>
      <c r="EP23" s="23">
        <f>8-69</f>
        <v>-61</v>
      </c>
      <c r="EQ23" s="8">
        <v>23</v>
      </c>
      <c r="ER23" s="23">
        <f>46-27</f>
        <v>19</v>
      </c>
      <c r="ES23" s="8">
        <v>27</v>
      </c>
      <c r="ET23" s="20">
        <v>0.2</v>
      </c>
      <c r="EU23" s="23">
        <f>45-19</f>
        <v>26</v>
      </c>
      <c r="EV23" s="8">
        <v>36</v>
      </c>
      <c r="EW23" s="23">
        <f>18-3</f>
        <v>15</v>
      </c>
      <c r="EX23" s="8">
        <v>79</v>
      </c>
      <c r="EY23" s="23">
        <f>36-17</f>
        <v>19</v>
      </c>
      <c r="EZ23" s="8">
        <v>47</v>
      </c>
      <c r="FA23" s="8">
        <v>49</v>
      </c>
      <c r="FB23" s="8">
        <v>51</v>
      </c>
      <c r="FC23" s="8">
        <v>1</v>
      </c>
      <c r="FD23" s="23">
        <f t="shared" si="9"/>
        <v>48</v>
      </c>
      <c r="FE23" s="8">
        <v>0</v>
      </c>
      <c r="FF23" s="23">
        <f>11-57</f>
        <v>-46</v>
      </c>
      <c r="FG23" s="8">
        <v>31</v>
      </c>
      <c r="FH23" s="23">
        <f>34-31</f>
        <v>3</v>
      </c>
      <c r="FI23" s="8">
        <v>36</v>
      </c>
      <c r="FJ23" s="20">
        <v>-0.665</v>
      </c>
      <c r="FK23" s="23">
        <f>38-23</f>
        <v>15</v>
      </c>
      <c r="FL23" s="8">
        <v>39</v>
      </c>
      <c r="FM23" s="23">
        <f>12-2</f>
        <v>10</v>
      </c>
      <c r="FN23" s="8">
        <v>86</v>
      </c>
      <c r="FO23" s="23">
        <f>36-18</f>
        <v>18</v>
      </c>
      <c r="FP23" s="8">
        <v>46</v>
      </c>
      <c r="FQ23" s="22" t="s">
        <v>1</v>
      </c>
      <c r="FR23" s="22" t="s">
        <v>1</v>
      </c>
      <c r="FS23" s="22" t="s">
        <v>1</v>
      </c>
      <c r="FT23" s="111" t="s">
        <v>1</v>
      </c>
      <c r="FU23" s="22" t="s">
        <v>1</v>
      </c>
    </row>
    <row r="24" spans="1:177" ht="12">
      <c r="A24" s="1" t="s">
        <v>36</v>
      </c>
      <c r="B24" s="23">
        <f>50-13</f>
        <v>37</v>
      </c>
      <c r="C24" s="8">
        <v>37</v>
      </c>
      <c r="D24" s="23">
        <f>45-27</f>
        <v>18</v>
      </c>
      <c r="E24" s="8">
        <v>28</v>
      </c>
      <c r="F24" s="20">
        <v>0.1</v>
      </c>
      <c r="G24" s="23">
        <f>34-26</f>
        <v>8</v>
      </c>
      <c r="H24" s="8">
        <v>41</v>
      </c>
      <c r="I24" s="23">
        <f>19-1</f>
        <v>18</v>
      </c>
      <c r="J24" s="8">
        <v>79</v>
      </c>
      <c r="K24" s="23">
        <f>25-22</f>
        <v>3</v>
      </c>
      <c r="L24" s="8">
        <v>53</v>
      </c>
      <c r="M24" s="8">
        <v>55</v>
      </c>
      <c r="N24" s="8">
        <v>41</v>
      </c>
      <c r="O24" s="8">
        <v>4</v>
      </c>
      <c r="P24" s="23">
        <f t="shared" si="0"/>
        <v>51</v>
      </c>
      <c r="Q24" s="8">
        <v>0</v>
      </c>
      <c r="R24" s="23">
        <f>35-43</f>
        <v>-8</v>
      </c>
      <c r="S24" s="8">
        <v>21</v>
      </c>
      <c r="T24" s="23">
        <f>50-34</f>
        <v>16</v>
      </c>
      <c r="U24" s="8">
        <v>17</v>
      </c>
      <c r="V24" s="20">
        <v>-0.4</v>
      </c>
      <c r="W24" s="23">
        <f>40-33</f>
        <v>7</v>
      </c>
      <c r="X24" s="8">
        <v>27</v>
      </c>
      <c r="Y24" s="23">
        <f>38-0</f>
        <v>38</v>
      </c>
      <c r="Z24" s="8">
        <v>62</v>
      </c>
      <c r="AA24" s="23">
        <f>35-28</f>
        <v>7</v>
      </c>
      <c r="AB24" s="8">
        <v>37</v>
      </c>
      <c r="AC24" s="8">
        <v>67</v>
      </c>
      <c r="AD24" s="8">
        <v>33</v>
      </c>
      <c r="AE24" s="8">
        <v>0</v>
      </c>
      <c r="AF24" s="23">
        <f t="shared" si="1"/>
        <v>67</v>
      </c>
      <c r="AG24" s="8">
        <v>0</v>
      </c>
      <c r="AH24" s="23">
        <f>48-15</f>
        <v>33</v>
      </c>
      <c r="AI24" s="8">
        <v>37</v>
      </c>
      <c r="AJ24" s="23">
        <f>44-22</f>
        <v>22</v>
      </c>
      <c r="AK24" s="8">
        <v>34</v>
      </c>
      <c r="AL24" s="20">
        <v>0</v>
      </c>
      <c r="AM24" s="23">
        <f>48-31</f>
        <v>17</v>
      </c>
      <c r="AN24" s="8">
        <v>22</v>
      </c>
      <c r="AO24" s="23">
        <f>26-0</f>
        <v>26</v>
      </c>
      <c r="AP24" s="8">
        <v>74</v>
      </c>
      <c r="AQ24" s="23">
        <f>43-24</f>
        <v>19</v>
      </c>
      <c r="AR24" s="8">
        <v>33</v>
      </c>
      <c r="AS24" s="8">
        <v>52</v>
      </c>
      <c r="AT24" s="8">
        <v>48</v>
      </c>
      <c r="AU24" s="8">
        <v>0</v>
      </c>
      <c r="AV24" s="23">
        <f t="shared" si="2"/>
        <v>52</v>
      </c>
      <c r="AW24" s="8">
        <v>0</v>
      </c>
      <c r="AX24" s="23">
        <f>32-42</f>
        <v>-10</v>
      </c>
      <c r="AY24" s="8">
        <v>26</v>
      </c>
      <c r="AZ24" s="23">
        <f>54-22</f>
        <v>32</v>
      </c>
      <c r="BA24" s="8">
        <v>25</v>
      </c>
      <c r="BB24" s="20">
        <v>0.7</v>
      </c>
      <c r="BC24" s="23">
        <f>40-25</f>
        <v>15</v>
      </c>
      <c r="BD24" s="8">
        <v>35</v>
      </c>
      <c r="BE24" s="23">
        <f>6-1</f>
        <v>5</v>
      </c>
      <c r="BF24" s="8">
        <v>93</v>
      </c>
      <c r="BG24" s="23">
        <f>33-27</f>
        <v>6</v>
      </c>
      <c r="BH24" s="8">
        <v>40</v>
      </c>
      <c r="BI24" s="8">
        <v>57</v>
      </c>
      <c r="BJ24" s="8">
        <v>43</v>
      </c>
      <c r="BK24" s="8">
        <v>1</v>
      </c>
      <c r="BL24" s="23">
        <f t="shared" si="3"/>
        <v>56</v>
      </c>
      <c r="BM24" s="8">
        <v>0</v>
      </c>
      <c r="BN24" s="23">
        <f>47-25</f>
        <v>22</v>
      </c>
      <c r="BO24" s="8">
        <v>28</v>
      </c>
      <c r="BP24" s="23">
        <f>36-38</f>
        <v>-2</v>
      </c>
      <c r="BQ24" s="8">
        <v>27</v>
      </c>
      <c r="BR24" s="20">
        <v>-0.9</v>
      </c>
      <c r="BS24" s="23">
        <f>28-47</f>
        <v>-19</v>
      </c>
      <c r="BT24" s="8">
        <v>25</v>
      </c>
      <c r="BU24" s="23">
        <f>20-1</f>
        <v>19</v>
      </c>
      <c r="BV24" s="8">
        <v>79</v>
      </c>
      <c r="BW24" s="23">
        <f>21-47</f>
        <v>-26</v>
      </c>
      <c r="BX24" s="8">
        <v>32</v>
      </c>
      <c r="BY24" s="8">
        <v>56</v>
      </c>
      <c r="BZ24" s="8">
        <v>41</v>
      </c>
      <c r="CA24" s="8">
        <v>3</v>
      </c>
      <c r="CB24" s="23">
        <f t="shared" si="4"/>
        <v>53</v>
      </c>
      <c r="CC24" s="8">
        <v>0</v>
      </c>
      <c r="CD24" s="23">
        <f>60-18</f>
        <v>42</v>
      </c>
      <c r="CE24" s="8">
        <v>23</v>
      </c>
      <c r="CF24" s="23">
        <f>45-26</f>
        <v>19</v>
      </c>
      <c r="CG24" s="8">
        <v>30</v>
      </c>
      <c r="CH24" s="20">
        <v>-0.7</v>
      </c>
      <c r="CI24" s="23">
        <f>26-48</f>
        <v>-22</v>
      </c>
      <c r="CJ24" s="8">
        <v>26</v>
      </c>
      <c r="CK24" s="23">
        <f>10-2</f>
        <v>8</v>
      </c>
      <c r="CL24" s="8">
        <v>88</v>
      </c>
      <c r="CM24" s="23">
        <f>29-35</f>
        <v>-6</v>
      </c>
      <c r="CN24" s="8">
        <v>35</v>
      </c>
      <c r="CO24" s="8">
        <v>49</v>
      </c>
      <c r="CP24" s="8">
        <v>49</v>
      </c>
      <c r="CQ24" s="8">
        <v>1</v>
      </c>
      <c r="CR24" s="23">
        <f t="shared" si="5"/>
        <v>48</v>
      </c>
      <c r="CS24" s="8">
        <v>1</v>
      </c>
      <c r="CT24" s="23">
        <f>51-20</f>
        <v>31</v>
      </c>
      <c r="CU24" s="8">
        <v>29</v>
      </c>
      <c r="CV24" s="23">
        <f>35-24</f>
        <v>11</v>
      </c>
      <c r="CW24" s="8">
        <v>41</v>
      </c>
      <c r="CX24" s="20">
        <v>-0.9</v>
      </c>
      <c r="CY24" s="23">
        <f>46-22</f>
        <v>24</v>
      </c>
      <c r="CZ24" s="8">
        <v>32</v>
      </c>
      <c r="DA24" s="23">
        <f>21-1</f>
        <v>20</v>
      </c>
      <c r="DB24" s="8">
        <v>77</v>
      </c>
      <c r="DC24" s="23">
        <f>20-36</f>
        <v>-16</v>
      </c>
      <c r="DD24" s="8">
        <v>44</v>
      </c>
      <c r="DE24" s="8">
        <v>53</v>
      </c>
      <c r="DF24" s="8">
        <v>47</v>
      </c>
      <c r="DG24" s="8">
        <v>0</v>
      </c>
      <c r="DH24" s="23">
        <f t="shared" si="6"/>
        <v>53</v>
      </c>
      <c r="DI24" s="8">
        <v>0</v>
      </c>
      <c r="DJ24" s="23">
        <f>46-16</f>
        <v>30</v>
      </c>
      <c r="DK24" s="8">
        <v>37</v>
      </c>
      <c r="DL24" s="23">
        <f>55-18</f>
        <v>37</v>
      </c>
      <c r="DM24" s="8">
        <v>26</v>
      </c>
      <c r="DN24" s="20">
        <v>1.8</v>
      </c>
      <c r="DO24" s="23">
        <f>41-24</f>
        <v>17</v>
      </c>
      <c r="DP24" s="8">
        <v>35</v>
      </c>
      <c r="DQ24" s="23">
        <f>14-1</f>
        <v>13</v>
      </c>
      <c r="DR24" s="8">
        <v>86</v>
      </c>
      <c r="DS24" s="23">
        <f>41-18</f>
        <v>23</v>
      </c>
      <c r="DT24" s="8">
        <v>41</v>
      </c>
      <c r="DU24" s="8">
        <v>49</v>
      </c>
      <c r="DV24" s="8">
        <v>51</v>
      </c>
      <c r="DW24" s="8">
        <v>0</v>
      </c>
      <c r="DX24" s="23">
        <f t="shared" si="7"/>
        <v>49</v>
      </c>
      <c r="DY24" s="8">
        <v>0</v>
      </c>
      <c r="DZ24" s="23">
        <f>34-22</f>
        <v>12</v>
      </c>
      <c r="EA24" s="8">
        <v>44</v>
      </c>
      <c r="EB24" s="23">
        <f>36-35</f>
        <v>1</v>
      </c>
      <c r="EC24" s="8">
        <v>29</v>
      </c>
      <c r="ED24" s="20">
        <v>-0.9</v>
      </c>
      <c r="EE24" s="23">
        <f>45-24</f>
        <v>21</v>
      </c>
      <c r="EF24" s="8">
        <v>32</v>
      </c>
      <c r="EG24" s="23">
        <f>13-0</f>
        <v>13</v>
      </c>
      <c r="EH24" s="8">
        <v>87</v>
      </c>
      <c r="EI24" s="23">
        <f>24-29</f>
        <v>-5</v>
      </c>
      <c r="EJ24" s="8">
        <v>47</v>
      </c>
      <c r="EK24" s="8">
        <v>37</v>
      </c>
      <c r="EL24" s="8">
        <v>63</v>
      </c>
      <c r="EM24" s="8">
        <v>0</v>
      </c>
      <c r="EN24" s="23">
        <f t="shared" si="8"/>
        <v>37</v>
      </c>
      <c r="EO24" s="8">
        <v>0</v>
      </c>
      <c r="EP24" s="23">
        <f>44-24</f>
        <v>20</v>
      </c>
      <c r="EQ24" s="8">
        <v>32</v>
      </c>
      <c r="ER24" s="23">
        <f>45-27</f>
        <v>18</v>
      </c>
      <c r="ES24" s="8">
        <v>28</v>
      </c>
      <c r="ET24" s="20">
        <v>0</v>
      </c>
      <c r="EU24" s="23">
        <f>38-29</f>
        <v>9</v>
      </c>
      <c r="EV24" s="8">
        <v>32</v>
      </c>
      <c r="EW24" s="23">
        <f>18-1</f>
        <v>17</v>
      </c>
      <c r="EX24" s="8">
        <v>81</v>
      </c>
      <c r="EY24" s="23">
        <f>30-28</f>
        <v>2</v>
      </c>
      <c r="EZ24" s="8">
        <v>42</v>
      </c>
      <c r="FA24" s="8">
        <v>54</v>
      </c>
      <c r="FB24" s="8">
        <v>45</v>
      </c>
      <c r="FC24" s="8">
        <v>1</v>
      </c>
      <c r="FD24" s="23">
        <f t="shared" si="9"/>
        <v>53</v>
      </c>
      <c r="FE24" s="8">
        <v>0</v>
      </c>
      <c r="FF24" s="23">
        <f>37-25</f>
        <v>12</v>
      </c>
      <c r="FG24" s="8">
        <v>38</v>
      </c>
      <c r="FH24" s="23">
        <f>36-32</f>
        <v>4</v>
      </c>
      <c r="FI24" s="8">
        <v>32</v>
      </c>
      <c r="FJ24" s="20">
        <v>-1.117</v>
      </c>
      <c r="FK24" s="23">
        <f>31-32</f>
        <v>-1</v>
      </c>
      <c r="FL24" s="8">
        <v>37</v>
      </c>
      <c r="FM24" s="23">
        <f>14-3</f>
        <v>11</v>
      </c>
      <c r="FN24" s="8">
        <v>83</v>
      </c>
      <c r="FO24" s="23">
        <f>29-27</f>
        <v>2</v>
      </c>
      <c r="FP24" s="8">
        <v>44</v>
      </c>
      <c r="FQ24" s="8">
        <v>43.7857550451201</v>
      </c>
      <c r="FR24" s="8">
        <v>54.169437219944115</v>
      </c>
      <c r="FS24" s="8">
        <v>1.7203331551711603</v>
      </c>
      <c r="FT24" s="112">
        <f>FQ24-FS24</f>
        <v>42.06542188994894</v>
      </c>
      <c r="FU24" s="23">
        <v>0.3244745797646285</v>
      </c>
    </row>
    <row r="25" spans="1:177" ht="12">
      <c r="A25" s="1" t="s">
        <v>32</v>
      </c>
      <c r="B25" s="23">
        <f>23-55</f>
        <v>-32</v>
      </c>
      <c r="C25" s="8">
        <v>22</v>
      </c>
      <c r="D25" s="23">
        <f>55-24</f>
        <v>31</v>
      </c>
      <c r="E25" s="8">
        <v>21</v>
      </c>
      <c r="F25" s="20">
        <v>0.6</v>
      </c>
      <c r="G25" s="23">
        <f>64-10</f>
        <v>54</v>
      </c>
      <c r="H25" s="8">
        <v>26</v>
      </c>
      <c r="I25" s="23">
        <f>17-0</f>
        <v>17</v>
      </c>
      <c r="J25" s="8">
        <v>83</v>
      </c>
      <c r="K25" s="23">
        <f>52-9</f>
        <v>43</v>
      </c>
      <c r="L25" s="8">
        <v>40</v>
      </c>
      <c r="M25" s="8">
        <v>64</v>
      </c>
      <c r="N25" s="8">
        <v>36</v>
      </c>
      <c r="O25" s="8">
        <v>0</v>
      </c>
      <c r="P25" s="23">
        <f t="shared" si="0"/>
        <v>64</v>
      </c>
      <c r="Q25" s="8">
        <v>0</v>
      </c>
      <c r="R25" s="23">
        <f>9-72</f>
        <v>-63</v>
      </c>
      <c r="S25" s="8">
        <v>19</v>
      </c>
      <c r="T25" s="23">
        <f>46-34</f>
        <v>12</v>
      </c>
      <c r="U25" s="8">
        <v>20</v>
      </c>
      <c r="V25" s="20">
        <v>-0.8</v>
      </c>
      <c r="W25" s="23">
        <f>65-13</f>
        <v>52</v>
      </c>
      <c r="X25" s="8">
        <v>23</v>
      </c>
      <c r="Y25" s="23">
        <f>28-4</f>
        <v>24</v>
      </c>
      <c r="Z25" s="8">
        <v>67</v>
      </c>
      <c r="AA25" s="23">
        <f>53-12</f>
        <v>41</v>
      </c>
      <c r="AB25" s="8">
        <v>35</v>
      </c>
      <c r="AC25" s="8">
        <v>58</v>
      </c>
      <c r="AD25" s="8">
        <v>40</v>
      </c>
      <c r="AE25" s="8">
        <v>0</v>
      </c>
      <c r="AF25" s="23">
        <f t="shared" si="1"/>
        <v>58</v>
      </c>
      <c r="AG25" s="8">
        <v>0</v>
      </c>
      <c r="AH25" s="23">
        <f>27-44</f>
        <v>-17</v>
      </c>
      <c r="AI25" s="8">
        <v>29</v>
      </c>
      <c r="AJ25" s="23">
        <f>41-37</f>
        <v>4</v>
      </c>
      <c r="AK25" s="8">
        <v>22</v>
      </c>
      <c r="AL25" s="20">
        <v>-1</v>
      </c>
      <c r="AM25" s="23">
        <f>43-12</f>
        <v>31</v>
      </c>
      <c r="AN25" s="8">
        <v>45</v>
      </c>
      <c r="AO25" s="23">
        <f>16-1</f>
        <v>15</v>
      </c>
      <c r="AP25" s="8">
        <v>83</v>
      </c>
      <c r="AQ25" s="23">
        <f>50-9</f>
        <v>41</v>
      </c>
      <c r="AR25" s="8">
        <v>40</v>
      </c>
      <c r="AS25" s="8">
        <v>50</v>
      </c>
      <c r="AT25" s="8">
        <v>50</v>
      </c>
      <c r="AU25" s="8">
        <v>0</v>
      </c>
      <c r="AV25" s="23">
        <f t="shared" si="2"/>
        <v>50</v>
      </c>
      <c r="AW25" s="8">
        <v>0</v>
      </c>
      <c r="AX25" s="23">
        <f>9-64</f>
        <v>-55</v>
      </c>
      <c r="AY25" s="8">
        <v>27</v>
      </c>
      <c r="AZ25" s="23">
        <f>42-33</f>
        <v>9</v>
      </c>
      <c r="BA25" s="8">
        <v>25</v>
      </c>
      <c r="BB25" s="20">
        <v>-0.4</v>
      </c>
      <c r="BC25" s="23">
        <f>72-8</f>
        <v>64</v>
      </c>
      <c r="BD25" s="8">
        <v>21</v>
      </c>
      <c r="BE25" s="23">
        <f>17-6</f>
        <v>11</v>
      </c>
      <c r="BF25" s="8">
        <v>78</v>
      </c>
      <c r="BG25" s="23">
        <f>63-6</f>
        <v>57</v>
      </c>
      <c r="BH25" s="8">
        <v>30</v>
      </c>
      <c r="BI25" s="8">
        <v>50</v>
      </c>
      <c r="BJ25" s="8">
        <v>48</v>
      </c>
      <c r="BK25" s="8">
        <v>1</v>
      </c>
      <c r="BL25" s="23">
        <f t="shared" si="3"/>
        <v>49</v>
      </c>
      <c r="BM25" s="8">
        <v>0</v>
      </c>
      <c r="BN25" s="23">
        <f>12-64</f>
        <v>-52</v>
      </c>
      <c r="BO25" s="8">
        <v>24</v>
      </c>
      <c r="BP25" s="23">
        <f>25-52</f>
        <v>-27</v>
      </c>
      <c r="BQ25" s="8">
        <v>23</v>
      </c>
      <c r="BR25" s="20">
        <v>-1.9</v>
      </c>
      <c r="BS25" s="23">
        <f>69-12</f>
        <v>57</v>
      </c>
      <c r="BT25" s="8">
        <v>19</v>
      </c>
      <c r="BU25" s="23">
        <f>13-0</f>
        <v>13</v>
      </c>
      <c r="BV25" s="8">
        <v>87</v>
      </c>
      <c r="BW25" s="23">
        <f>55-15</f>
        <v>40</v>
      </c>
      <c r="BX25" s="8">
        <v>30</v>
      </c>
      <c r="BY25" s="8">
        <v>45</v>
      </c>
      <c r="BZ25" s="8">
        <v>55</v>
      </c>
      <c r="CA25" s="8">
        <v>0</v>
      </c>
      <c r="CB25" s="23">
        <f t="shared" si="4"/>
        <v>45</v>
      </c>
      <c r="CC25" s="8">
        <v>0</v>
      </c>
      <c r="CD25" s="23">
        <f>5-71</f>
        <v>-66</v>
      </c>
      <c r="CE25" s="8">
        <v>24</v>
      </c>
      <c r="CF25" s="23">
        <f>35-51</f>
        <v>-16</v>
      </c>
      <c r="CG25" s="8">
        <v>15</v>
      </c>
      <c r="CH25" s="20">
        <v>-1.1</v>
      </c>
      <c r="CI25" s="23">
        <f>54-18</f>
        <v>36</v>
      </c>
      <c r="CJ25" s="8">
        <v>29</v>
      </c>
      <c r="CK25" s="23">
        <f>20-0</f>
        <v>20</v>
      </c>
      <c r="CL25" s="8">
        <v>80</v>
      </c>
      <c r="CM25" s="23">
        <f>46-9</f>
        <v>37</v>
      </c>
      <c r="CN25" s="8">
        <v>46</v>
      </c>
      <c r="CO25" s="8">
        <v>63</v>
      </c>
      <c r="CP25" s="8">
        <v>37</v>
      </c>
      <c r="CQ25" s="8">
        <v>0</v>
      </c>
      <c r="CR25" s="23">
        <f t="shared" si="5"/>
        <v>63</v>
      </c>
      <c r="CS25" s="8">
        <v>0</v>
      </c>
      <c r="CT25" s="23">
        <f>25-42</f>
        <v>-17</v>
      </c>
      <c r="CU25" s="8">
        <v>33</v>
      </c>
      <c r="CV25" s="23">
        <f>43-36</f>
        <v>7</v>
      </c>
      <c r="CW25" s="8">
        <v>21</v>
      </c>
      <c r="CX25" s="20">
        <v>-0.9</v>
      </c>
      <c r="CY25" s="23">
        <f>52-17</f>
        <v>35</v>
      </c>
      <c r="CZ25" s="8">
        <v>31</v>
      </c>
      <c r="DA25" s="23">
        <f>23-2</f>
        <v>21</v>
      </c>
      <c r="DB25" s="8">
        <v>75</v>
      </c>
      <c r="DC25" s="23">
        <f>40-15</f>
        <v>25</v>
      </c>
      <c r="DD25" s="8">
        <v>44</v>
      </c>
      <c r="DE25" s="8">
        <v>43</v>
      </c>
      <c r="DF25" s="8">
        <v>56</v>
      </c>
      <c r="DG25" s="8">
        <v>1</v>
      </c>
      <c r="DH25" s="23">
        <f t="shared" si="6"/>
        <v>42</v>
      </c>
      <c r="DI25" s="8">
        <v>0</v>
      </c>
      <c r="DJ25" s="23">
        <f>13-52</f>
        <v>-39</v>
      </c>
      <c r="DK25" s="8">
        <v>34</v>
      </c>
      <c r="DL25" s="23">
        <f>20-52</f>
        <v>-32</v>
      </c>
      <c r="DM25" s="8">
        <v>28</v>
      </c>
      <c r="DN25" s="20">
        <v>-0.9</v>
      </c>
      <c r="DO25" s="23">
        <f>63-8</f>
        <v>55</v>
      </c>
      <c r="DP25" s="8">
        <v>29</v>
      </c>
      <c r="DQ25" s="23">
        <f>13-4</f>
        <v>9</v>
      </c>
      <c r="DR25" s="8">
        <v>83</v>
      </c>
      <c r="DS25" s="23">
        <f>59-2</f>
        <v>57</v>
      </c>
      <c r="DT25" s="8">
        <v>39</v>
      </c>
      <c r="DU25" s="8">
        <v>57</v>
      </c>
      <c r="DV25" s="8">
        <v>42</v>
      </c>
      <c r="DW25" s="8">
        <v>0</v>
      </c>
      <c r="DX25" s="23">
        <f t="shared" si="7"/>
        <v>57</v>
      </c>
      <c r="DY25" s="8">
        <v>0</v>
      </c>
      <c r="DZ25" s="23">
        <f>14-51</f>
        <v>-37</v>
      </c>
      <c r="EA25" s="8">
        <v>35</v>
      </c>
      <c r="EB25" s="23">
        <f>16-34</f>
        <v>-18</v>
      </c>
      <c r="EC25" s="8">
        <v>49</v>
      </c>
      <c r="ED25" s="20">
        <v>-1.5</v>
      </c>
      <c r="EE25" s="23">
        <f>60-15</f>
        <v>45</v>
      </c>
      <c r="EF25" s="8">
        <v>26</v>
      </c>
      <c r="EG25" s="23">
        <f>16-2</f>
        <v>14</v>
      </c>
      <c r="EH25" s="8">
        <v>82</v>
      </c>
      <c r="EI25" s="23">
        <f>52-14</f>
        <v>38</v>
      </c>
      <c r="EJ25" s="8">
        <v>33</v>
      </c>
      <c r="EK25" s="8">
        <v>35</v>
      </c>
      <c r="EL25" s="8">
        <v>64</v>
      </c>
      <c r="EM25" s="8">
        <v>1</v>
      </c>
      <c r="EN25" s="23">
        <f t="shared" si="8"/>
        <v>34</v>
      </c>
      <c r="EO25" s="8">
        <v>0</v>
      </c>
      <c r="EP25" s="23">
        <f>16-57</f>
        <v>-41</v>
      </c>
      <c r="EQ25" s="8">
        <v>27</v>
      </c>
      <c r="ER25" s="23">
        <f>39-37</f>
        <v>2</v>
      </c>
      <c r="ES25" s="8">
        <v>24</v>
      </c>
      <c r="ET25" s="20">
        <v>-0.6</v>
      </c>
      <c r="EU25" s="23">
        <f>62-11</f>
        <v>51</v>
      </c>
      <c r="EV25" s="8">
        <v>27</v>
      </c>
      <c r="EW25" s="23">
        <f>18-2</f>
        <v>16</v>
      </c>
      <c r="EX25" s="8">
        <v>80</v>
      </c>
      <c r="EY25" s="23">
        <f>53-10</f>
        <v>43</v>
      </c>
      <c r="EZ25" s="8">
        <v>37</v>
      </c>
      <c r="FA25" s="8">
        <v>54</v>
      </c>
      <c r="FB25" s="8">
        <v>46</v>
      </c>
      <c r="FC25" s="8">
        <v>0</v>
      </c>
      <c r="FD25" s="23">
        <f t="shared" si="9"/>
        <v>54</v>
      </c>
      <c r="FE25" s="8">
        <v>0</v>
      </c>
      <c r="FF25" s="23">
        <f>18-48</f>
        <v>-30</v>
      </c>
      <c r="FG25" s="8">
        <v>34</v>
      </c>
      <c r="FH25" s="23">
        <f>27-40</f>
        <v>-13</v>
      </c>
      <c r="FI25" s="8">
        <v>32</v>
      </c>
      <c r="FJ25" s="20">
        <v>-1.268</v>
      </c>
      <c r="FK25" s="23">
        <f>50-19</f>
        <v>31</v>
      </c>
      <c r="FL25" s="8">
        <v>31</v>
      </c>
      <c r="FM25" s="23">
        <f>12-3</f>
        <v>9</v>
      </c>
      <c r="FN25" s="8">
        <v>85</v>
      </c>
      <c r="FO25" s="23">
        <f>44-13</f>
        <v>31</v>
      </c>
      <c r="FP25" s="8">
        <v>43</v>
      </c>
      <c r="FQ25" s="8">
        <v>44.96788432634143</v>
      </c>
      <c r="FR25" s="8">
        <v>52.929741584702406</v>
      </c>
      <c r="FS25" s="8">
        <v>1.6796578418605244</v>
      </c>
      <c r="FT25" s="112">
        <f aca="true" t="shared" si="21" ref="FT25:FT46">FQ25-FS25</f>
        <v>43.2882264844809</v>
      </c>
      <c r="FU25" s="23">
        <v>0.42271624709564576</v>
      </c>
    </row>
    <row r="26" spans="1:177" ht="12">
      <c r="A26" s="1" t="s">
        <v>33</v>
      </c>
      <c r="B26" s="23">
        <f>60-18</f>
        <v>42</v>
      </c>
      <c r="C26" s="8">
        <v>22</v>
      </c>
      <c r="D26" s="23">
        <f>59-26</f>
        <v>33</v>
      </c>
      <c r="E26" s="8">
        <v>15</v>
      </c>
      <c r="F26" s="20">
        <v>0.7</v>
      </c>
      <c r="G26" s="23">
        <f>41-33</f>
        <v>8</v>
      </c>
      <c r="H26" s="8">
        <v>26</v>
      </c>
      <c r="I26" s="23">
        <f>11-6</f>
        <v>5</v>
      </c>
      <c r="J26" s="8">
        <v>83</v>
      </c>
      <c r="K26" s="23">
        <f>30-21</f>
        <v>9</v>
      </c>
      <c r="L26" s="8">
        <v>49</v>
      </c>
      <c r="M26" s="8">
        <v>64</v>
      </c>
      <c r="N26" s="8">
        <v>36</v>
      </c>
      <c r="O26" s="8">
        <v>0</v>
      </c>
      <c r="P26" s="23">
        <f t="shared" si="0"/>
        <v>64</v>
      </c>
      <c r="Q26" s="8">
        <v>0</v>
      </c>
      <c r="R26" s="23">
        <f>68-17</f>
        <v>51</v>
      </c>
      <c r="S26" s="8">
        <v>16</v>
      </c>
      <c r="T26" s="23">
        <f>62-20</f>
        <v>42</v>
      </c>
      <c r="U26" s="8">
        <v>18</v>
      </c>
      <c r="V26" s="20">
        <v>1.1</v>
      </c>
      <c r="W26" s="23">
        <f>29-32</f>
        <v>-3</v>
      </c>
      <c r="X26" s="8">
        <v>39</v>
      </c>
      <c r="Y26" s="23">
        <f>14-19</f>
        <v>-5</v>
      </c>
      <c r="Z26" s="8">
        <v>67</v>
      </c>
      <c r="AA26" s="23">
        <f>34-22</f>
        <v>12</v>
      </c>
      <c r="AB26" s="8">
        <v>44</v>
      </c>
      <c r="AC26" s="8">
        <v>67</v>
      </c>
      <c r="AD26" s="8">
        <v>33</v>
      </c>
      <c r="AE26" s="8">
        <v>0</v>
      </c>
      <c r="AF26" s="23">
        <f t="shared" si="1"/>
        <v>67</v>
      </c>
      <c r="AG26" s="8">
        <v>0</v>
      </c>
      <c r="AH26" s="23">
        <f>44-34</f>
        <v>10</v>
      </c>
      <c r="AI26" s="8">
        <v>22</v>
      </c>
      <c r="AJ26" s="23">
        <f>44-31</f>
        <v>13</v>
      </c>
      <c r="AK26" s="8">
        <v>25</v>
      </c>
      <c r="AL26" s="20">
        <v>-0.7</v>
      </c>
      <c r="AM26" s="23">
        <f>30-27</f>
        <v>3</v>
      </c>
      <c r="AN26" s="8">
        <v>43</v>
      </c>
      <c r="AO26" s="23">
        <f>15-3</f>
        <v>12</v>
      </c>
      <c r="AP26" s="8">
        <v>82</v>
      </c>
      <c r="AQ26" s="23">
        <f>27-44</f>
        <v>-17</v>
      </c>
      <c r="AR26" s="8">
        <v>30</v>
      </c>
      <c r="AS26" s="8">
        <v>58</v>
      </c>
      <c r="AT26" s="8">
        <v>40</v>
      </c>
      <c r="AU26" s="8">
        <v>1</v>
      </c>
      <c r="AV26" s="23">
        <f t="shared" si="2"/>
        <v>57</v>
      </c>
      <c r="AW26" s="8">
        <v>0</v>
      </c>
      <c r="AX26" s="23">
        <f>57-13</f>
        <v>44</v>
      </c>
      <c r="AY26" s="8">
        <v>29</v>
      </c>
      <c r="AZ26" s="23">
        <f>55-20</f>
        <v>35</v>
      </c>
      <c r="BA26" s="8">
        <v>25</v>
      </c>
      <c r="BB26" s="20">
        <v>0.7</v>
      </c>
      <c r="BC26" s="23">
        <f>38-22</f>
        <v>16</v>
      </c>
      <c r="BD26" s="8">
        <v>40</v>
      </c>
      <c r="BE26" s="23">
        <f>13-9</f>
        <v>4</v>
      </c>
      <c r="BF26" s="8">
        <v>78</v>
      </c>
      <c r="BG26" s="23">
        <f>36-21</f>
        <v>15</v>
      </c>
      <c r="BH26" s="8">
        <v>43</v>
      </c>
      <c r="BI26" s="8">
        <v>48</v>
      </c>
      <c r="BJ26" s="8">
        <v>52</v>
      </c>
      <c r="BK26" s="8">
        <v>1</v>
      </c>
      <c r="BL26" s="23">
        <f t="shared" si="3"/>
        <v>47</v>
      </c>
      <c r="BM26" s="8">
        <v>0</v>
      </c>
      <c r="BN26" s="23">
        <f>47-29</f>
        <v>18</v>
      </c>
      <c r="BO26" s="8">
        <v>24</v>
      </c>
      <c r="BP26" s="23">
        <f>43-24</f>
        <v>19</v>
      </c>
      <c r="BQ26" s="8">
        <v>34</v>
      </c>
      <c r="BR26" s="20">
        <v>0.4</v>
      </c>
      <c r="BS26" s="23">
        <f>39-31</f>
        <v>8</v>
      </c>
      <c r="BT26" s="8">
        <v>29</v>
      </c>
      <c r="BU26" s="23">
        <f>23-1</f>
        <v>22</v>
      </c>
      <c r="BV26" s="8">
        <v>76</v>
      </c>
      <c r="BW26" s="23">
        <f>44-29</f>
        <v>15</v>
      </c>
      <c r="BX26" s="8">
        <v>27</v>
      </c>
      <c r="BY26" s="8">
        <v>59</v>
      </c>
      <c r="BZ26" s="8">
        <v>40</v>
      </c>
      <c r="CA26" s="8">
        <v>0</v>
      </c>
      <c r="CB26" s="23">
        <f t="shared" si="4"/>
        <v>59</v>
      </c>
      <c r="CC26" s="8">
        <v>0</v>
      </c>
      <c r="CD26" s="23">
        <f>60-13</f>
        <v>47</v>
      </c>
      <c r="CE26" s="8">
        <v>28</v>
      </c>
      <c r="CF26" s="23">
        <f>47-30</f>
        <v>17</v>
      </c>
      <c r="CG26" s="8">
        <v>23</v>
      </c>
      <c r="CH26" s="20">
        <v>-0.2</v>
      </c>
      <c r="CI26" s="23">
        <f>19-42</f>
        <v>-23</v>
      </c>
      <c r="CJ26" s="8">
        <v>39</v>
      </c>
      <c r="CK26" s="23">
        <f>8-4</f>
        <v>4</v>
      </c>
      <c r="CL26" s="8">
        <v>88</v>
      </c>
      <c r="CM26" s="23">
        <f>28-19</f>
        <v>9</v>
      </c>
      <c r="CN26" s="8">
        <v>53</v>
      </c>
      <c r="CO26" s="8">
        <v>75</v>
      </c>
      <c r="CP26" s="8">
        <v>25</v>
      </c>
      <c r="CQ26" s="8">
        <v>0</v>
      </c>
      <c r="CR26" s="23">
        <f t="shared" si="5"/>
        <v>75</v>
      </c>
      <c r="CS26" s="8">
        <v>0</v>
      </c>
      <c r="CT26" s="23">
        <f>60-15</f>
        <v>45</v>
      </c>
      <c r="CU26" s="8">
        <v>25</v>
      </c>
      <c r="CV26" s="23">
        <f>45-26</f>
        <v>19</v>
      </c>
      <c r="CW26" s="8">
        <v>30</v>
      </c>
      <c r="CX26" s="20">
        <v>0.1</v>
      </c>
      <c r="CY26" s="23">
        <f>30-35</f>
        <v>-5</v>
      </c>
      <c r="CZ26" s="8">
        <v>35</v>
      </c>
      <c r="DA26" s="23">
        <f>16-4</f>
        <v>12</v>
      </c>
      <c r="DB26" s="8">
        <v>80</v>
      </c>
      <c r="DC26" s="23">
        <f>27-29</f>
        <v>-2</v>
      </c>
      <c r="DD26" s="8">
        <v>43</v>
      </c>
      <c r="DE26" s="8">
        <v>55</v>
      </c>
      <c r="DF26" s="8">
        <v>41</v>
      </c>
      <c r="DG26" s="8">
        <v>3</v>
      </c>
      <c r="DH26" s="23">
        <f t="shared" si="6"/>
        <v>52</v>
      </c>
      <c r="DI26" s="8">
        <v>1</v>
      </c>
      <c r="DJ26" s="23">
        <f>50-23</f>
        <v>27</v>
      </c>
      <c r="DK26" s="8">
        <v>27</v>
      </c>
      <c r="DL26" s="23">
        <f>44-24</f>
        <v>20</v>
      </c>
      <c r="DM26" s="8">
        <v>33</v>
      </c>
      <c r="DN26" s="20">
        <v>0</v>
      </c>
      <c r="DO26" s="23">
        <f>33-27</f>
        <v>6</v>
      </c>
      <c r="DP26" s="8">
        <v>40</v>
      </c>
      <c r="DQ26" s="23">
        <f>4-2</f>
        <v>2</v>
      </c>
      <c r="DR26" s="8">
        <v>94</v>
      </c>
      <c r="DS26" s="23">
        <f>33-25</f>
        <v>8</v>
      </c>
      <c r="DT26" s="8">
        <v>42</v>
      </c>
      <c r="DU26" s="8">
        <v>62</v>
      </c>
      <c r="DV26" s="8">
        <v>36</v>
      </c>
      <c r="DW26" s="8">
        <v>1</v>
      </c>
      <c r="DX26" s="23">
        <f t="shared" si="7"/>
        <v>61</v>
      </c>
      <c r="DY26" s="8">
        <v>1</v>
      </c>
      <c r="DZ26" s="23">
        <f>41-35</f>
        <v>6</v>
      </c>
      <c r="EA26" s="8">
        <v>24</v>
      </c>
      <c r="EB26" s="23">
        <f>35-29</f>
        <v>6</v>
      </c>
      <c r="EC26" s="8">
        <v>36</v>
      </c>
      <c r="ED26" s="20">
        <v>-0.2</v>
      </c>
      <c r="EE26" s="23">
        <f>27-42</f>
        <v>-15</v>
      </c>
      <c r="EF26" s="8">
        <v>31</v>
      </c>
      <c r="EG26" s="23">
        <f>17-16</f>
        <v>1</v>
      </c>
      <c r="EH26" s="8">
        <v>67</v>
      </c>
      <c r="EI26" s="23">
        <f>24-30</f>
        <v>-6</v>
      </c>
      <c r="EJ26" s="8">
        <v>46</v>
      </c>
      <c r="EK26" s="8">
        <v>58</v>
      </c>
      <c r="EL26" s="8">
        <v>41</v>
      </c>
      <c r="EM26" s="8">
        <v>0</v>
      </c>
      <c r="EN26" s="23">
        <f t="shared" si="8"/>
        <v>58</v>
      </c>
      <c r="EO26" s="8">
        <v>1</v>
      </c>
      <c r="EP26" s="23">
        <f>55-21</f>
        <v>34</v>
      </c>
      <c r="EQ26" s="8">
        <v>24</v>
      </c>
      <c r="ER26" s="23">
        <f>50-25</f>
        <v>25</v>
      </c>
      <c r="ES26" s="8">
        <v>25</v>
      </c>
      <c r="ET26" s="20">
        <v>0.3</v>
      </c>
      <c r="EU26" s="23">
        <f>34-31</f>
        <v>3</v>
      </c>
      <c r="EV26" s="8">
        <v>35</v>
      </c>
      <c r="EW26" s="23">
        <f>13-7</f>
        <v>6</v>
      </c>
      <c r="EX26" s="8">
        <v>80</v>
      </c>
      <c r="EY26" s="23">
        <f>32-26</f>
        <v>6</v>
      </c>
      <c r="EZ26" s="8">
        <v>43</v>
      </c>
      <c r="FA26" s="8">
        <v>60</v>
      </c>
      <c r="FB26" s="8">
        <v>39</v>
      </c>
      <c r="FC26" s="8">
        <v>1</v>
      </c>
      <c r="FD26" s="23">
        <f t="shared" si="9"/>
        <v>59</v>
      </c>
      <c r="FE26" s="8">
        <v>0</v>
      </c>
      <c r="FF26" s="23">
        <f>44-25</f>
        <v>19</v>
      </c>
      <c r="FG26" s="8">
        <v>31</v>
      </c>
      <c r="FH26" s="23">
        <f>36-35</f>
        <v>1</v>
      </c>
      <c r="FI26" s="8">
        <v>30</v>
      </c>
      <c r="FJ26" s="20">
        <v>-0.614</v>
      </c>
      <c r="FK26" s="23">
        <f>21-37</f>
        <v>-16</v>
      </c>
      <c r="FL26" s="8">
        <v>42</v>
      </c>
      <c r="FM26" s="23">
        <f>11-4</f>
        <v>7</v>
      </c>
      <c r="FN26" s="8">
        <v>86</v>
      </c>
      <c r="FO26" s="23">
        <f>21-29</f>
        <v>-8</v>
      </c>
      <c r="FP26" s="8">
        <v>50</v>
      </c>
      <c r="FQ26" s="8">
        <v>45.28827094677434</v>
      </c>
      <c r="FR26" s="8">
        <v>53.170019157301915</v>
      </c>
      <c r="FS26" s="8">
        <v>1.2215330410294944</v>
      </c>
      <c r="FT26" s="112">
        <f t="shared" si="21"/>
        <v>44.066737905744844</v>
      </c>
      <c r="FU26" s="23">
        <v>0.3201768548942432</v>
      </c>
    </row>
    <row r="27" spans="1:177" ht="12">
      <c r="A27" s="1" t="s">
        <v>9</v>
      </c>
      <c r="B27" s="24">
        <f aca="true" t="shared" si="22" ref="B27:O27">AVERAGE(B23:B26)</f>
        <v>-4</v>
      </c>
      <c r="C27" s="13">
        <f t="shared" si="22"/>
        <v>24.5</v>
      </c>
      <c r="D27" s="24">
        <f t="shared" si="22"/>
        <v>24.25</v>
      </c>
      <c r="E27" s="13">
        <f t="shared" si="22"/>
        <v>22.25</v>
      </c>
      <c r="F27" s="21">
        <f t="shared" si="22"/>
        <v>0.175</v>
      </c>
      <c r="G27" s="24">
        <f t="shared" si="22"/>
        <v>22.75</v>
      </c>
      <c r="H27" s="13">
        <f t="shared" si="22"/>
        <v>32.75</v>
      </c>
      <c r="I27" s="24">
        <f t="shared" si="22"/>
        <v>15.75</v>
      </c>
      <c r="J27" s="13">
        <f t="shared" si="22"/>
        <v>80.5</v>
      </c>
      <c r="K27" s="24">
        <f t="shared" si="22"/>
        <v>18.25</v>
      </c>
      <c r="L27" s="13">
        <f t="shared" si="22"/>
        <v>47.75</v>
      </c>
      <c r="M27" s="13">
        <f t="shared" si="22"/>
        <v>60.75</v>
      </c>
      <c r="N27" s="13">
        <f t="shared" si="22"/>
        <v>38.25</v>
      </c>
      <c r="O27" s="13">
        <f t="shared" si="22"/>
        <v>1.25</v>
      </c>
      <c r="P27" s="24">
        <f t="shared" si="0"/>
        <v>59.5</v>
      </c>
      <c r="Q27" s="13">
        <f aca="true" t="shared" si="23" ref="Q27:AE27">AVERAGE(Q23:Q26)</f>
        <v>0</v>
      </c>
      <c r="R27" s="24">
        <f t="shared" si="23"/>
        <v>-22</v>
      </c>
      <c r="S27" s="13">
        <f t="shared" si="23"/>
        <v>18</v>
      </c>
      <c r="T27" s="24">
        <f t="shared" si="23"/>
        <v>24.5</v>
      </c>
      <c r="U27" s="13">
        <f t="shared" si="23"/>
        <v>19</v>
      </c>
      <c r="V27" s="21">
        <f t="shared" si="23"/>
        <v>0.30000000000000004</v>
      </c>
      <c r="W27" s="24">
        <f t="shared" si="23"/>
        <v>18.5</v>
      </c>
      <c r="X27" s="13">
        <f t="shared" si="23"/>
        <v>28.75</v>
      </c>
      <c r="Y27" s="24">
        <f t="shared" si="23"/>
        <v>17</v>
      </c>
      <c r="Z27" s="13">
        <f t="shared" si="23"/>
        <v>68.75</v>
      </c>
      <c r="AA27" s="24">
        <f t="shared" si="23"/>
        <v>18.5</v>
      </c>
      <c r="AB27" s="13">
        <f t="shared" si="23"/>
        <v>37.5</v>
      </c>
      <c r="AC27" s="13">
        <f t="shared" si="23"/>
        <v>61.5</v>
      </c>
      <c r="AD27" s="13">
        <f t="shared" si="23"/>
        <v>38</v>
      </c>
      <c r="AE27" s="13">
        <f t="shared" si="23"/>
        <v>0</v>
      </c>
      <c r="AF27" s="24">
        <f t="shared" si="1"/>
        <v>61.5</v>
      </c>
      <c r="AG27" s="13">
        <f aca="true" t="shared" si="24" ref="AG27:AU27">AVERAGE(AG23:AG26)</f>
        <v>0</v>
      </c>
      <c r="AH27" s="24">
        <f t="shared" si="24"/>
        <v>-4.5</v>
      </c>
      <c r="AI27" s="13">
        <f t="shared" si="24"/>
        <v>31.5</v>
      </c>
      <c r="AJ27" s="24">
        <f t="shared" si="24"/>
        <v>18.5</v>
      </c>
      <c r="AK27" s="13">
        <f t="shared" si="24"/>
        <v>27</v>
      </c>
      <c r="AL27" s="21">
        <f t="shared" si="24"/>
        <v>0.025000000000000022</v>
      </c>
      <c r="AM27" s="24">
        <f t="shared" si="24"/>
        <v>23.25</v>
      </c>
      <c r="AN27" s="13">
        <f t="shared" si="24"/>
        <v>36.5</v>
      </c>
      <c r="AO27" s="24">
        <f t="shared" si="24"/>
        <v>19.5</v>
      </c>
      <c r="AP27" s="13">
        <f t="shared" si="24"/>
        <v>77.75</v>
      </c>
      <c r="AQ27" s="24">
        <f t="shared" si="24"/>
        <v>20</v>
      </c>
      <c r="AR27" s="13">
        <f t="shared" si="24"/>
        <v>38.25</v>
      </c>
      <c r="AS27" s="13">
        <f t="shared" si="24"/>
        <v>49</v>
      </c>
      <c r="AT27" s="13">
        <f t="shared" si="24"/>
        <v>50.5</v>
      </c>
      <c r="AU27" s="13">
        <f t="shared" si="24"/>
        <v>0.25</v>
      </c>
      <c r="AV27" s="24">
        <f t="shared" si="2"/>
        <v>48.75</v>
      </c>
      <c r="AW27" s="13">
        <f aca="true" t="shared" si="25" ref="AW27:BK27">AVERAGE(AW23:AW26)</f>
        <v>0</v>
      </c>
      <c r="AX27" s="24">
        <f t="shared" si="25"/>
        <v>-21</v>
      </c>
      <c r="AY27" s="13">
        <f t="shared" si="25"/>
        <v>26.25</v>
      </c>
      <c r="AZ27" s="24">
        <f t="shared" si="25"/>
        <v>26</v>
      </c>
      <c r="BA27" s="13">
        <f t="shared" si="25"/>
        <v>26.25</v>
      </c>
      <c r="BB27" s="21">
        <f t="shared" si="25"/>
        <v>0.575</v>
      </c>
      <c r="BC27" s="24">
        <f t="shared" si="25"/>
        <v>33.5</v>
      </c>
      <c r="BD27" s="13">
        <f t="shared" si="25"/>
        <v>32.25</v>
      </c>
      <c r="BE27" s="24">
        <f t="shared" si="25"/>
        <v>6.5</v>
      </c>
      <c r="BF27" s="13">
        <f t="shared" si="25"/>
        <v>83.75</v>
      </c>
      <c r="BG27" s="24">
        <f t="shared" si="25"/>
        <v>27</v>
      </c>
      <c r="BH27" s="13">
        <f t="shared" si="25"/>
        <v>38.25</v>
      </c>
      <c r="BI27" s="13">
        <f t="shared" si="25"/>
        <v>51.5</v>
      </c>
      <c r="BJ27" s="13">
        <f t="shared" si="25"/>
        <v>47.75</v>
      </c>
      <c r="BK27" s="13">
        <f t="shared" si="25"/>
        <v>0.75</v>
      </c>
      <c r="BL27" s="24">
        <f t="shared" si="3"/>
        <v>50.75</v>
      </c>
      <c r="BM27" s="13">
        <f aca="true" t="shared" si="26" ref="BM27:CA27">AVERAGE(BM23:BM26)</f>
        <v>0</v>
      </c>
      <c r="BN27" s="24">
        <f t="shared" si="26"/>
        <v>-20</v>
      </c>
      <c r="BO27" s="13">
        <f t="shared" si="26"/>
        <v>25</v>
      </c>
      <c r="BP27" s="24">
        <f t="shared" si="26"/>
        <v>-2.5</v>
      </c>
      <c r="BQ27" s="13">
        <f t="shared" si="26"/>
        <v>29.25</v>
      </c>
      <c r="BR27" s="21">
        <f t="shared" si="26"/>
        <v>-0.9499999999999998</v>
      </c>
      <c r="BS27" s="24">
        <f t="shared" si="26"/>
        <v>14</v>
      </c>
      <c r="BT27" s="13">
        <f t="shared" si="26"/>
        <v>28</v>
      </c>
      <c r="BU27" s="24">
        <f t="shared" si="26"/>
        <v>17.75</v>
      </c>
      <c r="BV27" s="13">
        <f t="shared" si="26"/>
        <v>77.75</v>
      </c>
      <c r="BW27" s="24">
        <f t="shared" si="26"/>
        <v>5.75</v>
      </c>
      <c r="BX27" s="13">
        <f t="shared" si="26"/>
        <v>35.25</v>
      </c>
      <c r="BY27" s="13">
        <f t="shared" si="26"/>
        <v>49</v>
      </c>
      <c r="BZ27" s="13">
        <f t="shared" si="26"/>
        <v>49.25</v>
      </c>
      <c r="CA27" s="13">
        <f t="shared" si="26"/>
        <v>1.25</v>
      </c>
      <c r="CB27" s="24">
        <f t="shared" si="4"/>
        <v>47.75</v>
      </c>
      <c r="CC27" s="13">
        <f aca="true" t="shared" si="27" ref="CC27:CQ27">AVERAGE(CC23:CC26)</f>
        <v>0.25</v>
      </c>
      <c r="CD27" s="24">
        <f t="shared" si="27"/>
        <v>-7.25</v>
      </c>
      <c r="CE27" s="13">
        <f t="shared" si="27"/>
        <v>27.5</v>
      </c>
      <c r="CF27" s="24">
        <f t="shared" si="27"/>
        <v>10.25</v>
      </c>
      <c r="CG27" s="13">
        <f t="shared" si="27"/>
        <v>27</v>
      </c>
      <c r="CH27" s="21">
        <f t="shared" si="27"/>
        <v>-0.45</v>
      </c>
      <c r="CI27" s="24">
        <f t="shared" si="27"/>
        <v>-0.75</v>
      </c>
      <c r="CJ27" s="13">
        <f t="shared" si="27"/>
        <v>35</v>
      </c>
      <c r="CK27" s="24">
        <f t="shared" si="27"/>
        <v>7.5</v>
      </c>
      <c r="CL27" s="13">
        <f t="shared" si="27"/>
        <v>86</v>
      </c>
      <c r="CM27" s="24">
        <f t="shared" si="27"/>
        <v>16.5</v>
      </c>
      <c r="CN27" s="13">
        <f t="shared" si="27"/>
        <v>47</v>
      </c>
      <c r="CO27" s="13">
        <f t="shared" si="27"/>
        <v>58.25</v>
      </c>
      <c r="CP27" s="13">
        <f t="shared" si="27"/>
        <v>40.75</v>
      </c>
      <c r="CQ27" s="13">
        <f t="shared" si="27"/>
        <v>0.75</v>
      </c>
      <c r="CR27" s="24">
        <f t="shared" si="5"/>
        <v>57.5</v>
      </c>
      <c r="CS27" s="13">
        <f aca="true" t="shared" si="28" ref="CS27:DG27">AVERAGE(CS23:CS26)</f>
        <v>0.5</v>
      </c>
      <c r="CT27" s="24">
        <f t="shared" si="28"/>
        <v>2</v>
      </c>
      <c r="CU27" s="13">
        <f t="shared" si="28"/>
        <v>31</v>
      </c>
      <c r="CV27" s="24">
        <f t="shared" si="28"/>
        <v>13.25</v>
      </c>
      <c r="CW27" s="13">
        <f t="shared" si="28"/>
        <v>30</v>
      </c>
      <c r="CX27" s="21">
        <f t="shared" si="28"/>
        <v>-0.475</v>
      </c>
      <c r="CY27" s="24">
        <f t="shared" si="28"/>
        <v>25</v>
      </c>
      <c r="CZ27" s="13">
        <f t="shared" si="28"/>
        <v>36</v>
      </c>
      <c r="DA27" s="24">
        <f t="shared" si="28"/>
        <v>17.5</v>
      </c>
      <c r="DB27" s="13">
        <f t="shared" si="28"/>
        <v>77.75</v>
      </c>
      <c r="DC27" s="24">
        <f t="shared" si="28"/>
        <v>6.75</v>
      </c>
      <c r="DD27" s="13">
        <f t="shared" si="28"/>
        <v>48.25</v>
      </c>
      <c r="DE27" s="13">
        <f t="shared" si="28"/>
        <v>47.75</v>
      </c>
      <c r="DF27" s="13">
        <f t="shared" si="28"/>
        <v>51</v>
      </c>
      <c r="DG27" s="13">
        <f t="shared" si="28"/>
        <v>1</v>
      </c>
      <c r="DH27" s="24">
        <f t="shared" si="6"/>
        <v>46.75</v>
      </c>
      <c r="DI27" s="13">
        <f aca="true" t="shared" si="29" ref="DI27:DW27">AVERAGE(DI23:DI26)</f>
        <v>0.25</v>
      </c>
      <c r="DJ27" s="24">
        <f t="shared" si="29"/>
        <v>-13.25</v>
      </c>
      <c r="DK27" s="13">
        <f t="shared" si="29"/>
        <v>29.25</v>
      </c>
      <c r="DL27" s="24">
        <f t="shared" si="29"/>
        <v>16.25</v>
      </c>
      <c r="DM27" s="13">
        <f t="shared" si="29"/>
        <v>26.75</v>
      </c>
      <c r="DN27" s="21">
        <f t="shared" si="29"/>
        <v>0.5750000000000001</v>
      </c>
      <c r="DO27" s="24">
        <f t="shared" si="29"/>
        <v>25.75</v>
      </c>
      <c r="DP27" s="13">
        <f t="shared" si="29"/>
        <v>34.75</v>
      </c>
      <c r="DQ27" s="24">
        <f t="shared" si="29"/>
        <v>9.25</v>
      </c>
      <c r="DR27" s="13">
        <f t="shared" si="29"/>
        <v>86.5</v>
      </c>
      <c r="DS27" s="24">
        <f t="shared" si="29"/>
        <v>27.25</v>
      </c>
      <c r="DT27" s="13">
        <f t="shared" si="29"/>
        <v>38.75</v>
      </c>
      <c r="DU27" s="13">
        <f t="shared" si="29"/>
        <v>55</v>
      </c>
      <c r="DV27" s="13">
        <f t="shared" si="29"/>
        <v>44</v>
      </c>
      <c r="DW27" s="13">
        <f t="shared" si="29"/>
        <v>0.5</v>
      </c>
      <c r="DX27" s="24">
        <f t="shared" si="7"/>
        <v>54.5</v>
      </c>
      <c r="DY27" s="13">
        <f aca="true" t="shared" si="30" ref="DY27:EM27">AVERAGE(DY23:DY26)</f>
        <v>0.25</v>
      </c>
      <c r="DZ27" s="24">
        <f t="shared" si="30"/>
        <v>-19.75</v>
      </c>
      <c r="EA27" s="13">
        <f t="shared" si="30"/>
        <v>30.75</v>
      </c>
      <c r="EB27" s="24">
        <f t="shared" si="30"/>
        <v>-3.75</v>
      </c>
      <c r="EC27" s="13">
        <f t="shared" si="30"/>
        <v>34.75</v>
      </c>
      <c r="ED27" s="21">
        <f t="shared" si="30"/>
        <v>-1.05</v>
      </c>
      <c r="EE27" s="24">
        <f t="shared" si="30"/>
        <v>18.25</v>
      </c>
      <c r="EF27" s="13">
        <f t="shared" si="30"/>
        <v>28.25</v>
      </c>
      <c r="EG27" s="24">
        <f t="shared" si="30"/>
        <v>10.75</v>
      </c>
      <c r="EH27" s="13">
        <f t="shared" si="30"/>
        <v>79.5</v>
      </c>
      <c r="EI27" s="24">
        <f t="shared" si="30"/>
        <v>7.75</v>
      </c>
      <c r="EJ27" s="13">
        <f t="shared" si="30"/>
        <v>46.75</v>
      </c>
      <c r="EK27" s="13">
        <f t="shared" si="30"/>
        <v>42.75</v>
      </c>
      <c r="EL27" s="13">
        <f t="shared" si="30"/>
        <v>56.75</v>
      </c>
      <c r="EM27" s="13">
        <f t="shared" si="30"/>
        <v>0.25</v>
      </c>
      <c r="EN27" s="24">
        <f t="shared" si="8"/>
        <v>42.5</v>
      </c>
      <c r="EO27" s="13">
        <f aca="true" t="shared" si="31" ref="EO27:FC27">AVERAGE(EO23:EO26)</f>
        <v>0.25</v>
      </c>
      <c r="EP27" s="24">
        <f t="shared" si="31"/>
        <v>-12</v>
      </c>
      <c r="EQ27" s="13">
        <f t="shared" si="31"/>
        <v>26.5</v>
      </c>
      <c r="ER27" s="24">
        <f t="shared" si="31"/>
        <v>16</v>
      </c>
      <c r="ES27" s="13">
        <f t="shared" si="31"/>
        <v>26</v>
      </c>
      <c r="ET27" s="21">
        <f t="shared" si="31"/>
        <v>-0.024999999999999994</v>
      </c>
      <c r="EU27" s="24">
        <f t="shared" si="31"/>
        <v>22.25</v>
      </c>
      <c r="EV27" s="13">
        <f t="shared" si="31"/>
        <v>32.5</v>
      </c>
      <c r="EW27" s="24">
        <f t="shared" si="31"/>
        <v>13.5</v>
      </c>
      <c r="EX27" s="13">
        <f t="shared" si="31"/>
        <v>80</v>
      </c>
      <c r="EY27" s="24">
        <f t="shared" si="31"/>
        <v>17.5</v>
      </c>
      <c r="EZ27" s="13">
        <f t="shared" si="31"/>
        <v>42.25</v>
      </c>
      <c r="FA27" s="13">
        <f t="shared" si="31"/>
        <v>54.25</v>
      </c>
      <c r="FB27" s="13">
        <f t="shared" si="31"/>
        <v>45.25</v>
      </c>
      <c r="FC27" s="13">
        <f t="shared" si="31"/>
        <v>0.75</v>
      </c>
      <c r="FD27" s="24">
        <f t="shared" si="9"/>
        <v>53.5</v>
      </c>
      <c r="FE27" s="13">
        <f>AVERAGE(FE23:FE26)</f>
        <v>0</v>
      </c>
      <c r="FF27" s="24">
        <f aca="true" t="shared" si="32" ref="FF27:FP27">AVERAGE(FF23:FF26)</f>
        <v>-11.25</v>
      </c>
      <c r="FG27" s="13">
        <f t="shared" si="32"/>
        <v>33.5</v>
      </c>
      <c r="FH27" s="24">
        <f t="shared" si="32"/>
        <v>-1.25</v>
      </c>
      <c r="FI27" s="13">
        <f t="shared" si="32"/>
        <v>32.5</v>
      </c>
      <c r="FJ27" s="21">
        <f t="shared" si="32"/>
        <v>-0.9159999999999999</v>
      </c>
      <c r="FK27" s="24">
        <f t="shared" si="32"/>
        <v>7.25</v>
      </c>
      <c r="FL27" s="13">
        <f t="shared" si="32"/>
        <v>37.25</v>
      </c>
      <c r="FM27" s="24">
        <f t="shared" si="32"/>
        <v>9.25</v>
      </c>
      <c r="FN27" s="13">
        <f t="shared" si="32"/>
        <v>85</v>
      </c>
      <c r="FO27" s="24">
        <f t="shared" si="32"/>
        <v>10.75</v>
      </c>
      <c r="FP27" s="13">
        <f t="shared" si="32"/>
        <v>45.75</v>
      </c>
      <c r="FQ27" s="13">
        <f>AVERAGE(FQ23:FQ26)</f>
        <v>44.68063677274529</v>
      </c>
      <c r="FR27" s="13">
        <f>AVERAGE(FR23:FR26)</f>
        <v>53.42306598731614</v>
      </c>
      <c r="FS27" s="13">
        <f>AVERAGE(FS23:FS26)</f>
        <v>1.5405080126870596</v>
      </c>
      <c r="FT27" s="112">
        <f t="shared" si="21"/>
        <v>43.140128760058225</v>
      </c>
      <c r="FU27" s="13">
        <f>AVERAGE(FU23:FU26)</f>
        <v>0.3557892272515058</v>
      </c>
    </row>
    <row r="28" spans="1:177" ht="12">
      <c r="A28" s="1" t="s">
        <v>44</v>
      </c>
      <c r="B28" s="23">
        <f>8-70</f>
        <v>-62</v>
      </c>
      <c r="C28" s="8">
        <v>22</v>
      </c>
      <c r="D28" s="23">
        <f>50-31</f>
        <v>19</v>
      </c>
      <c r="E28" s="8">
        <v>18</v>
      </c>
      <c r="F28" s="20">
        <v>-0.6</v>
      </c>
      <c r="G28" s="23">
        <f>42-21</f>
        <v>21</v>
      </c>
      <c r="H28" s="8">
        <v>37</v>
      </c>
      <c r="I28" s="23">
        <f>15-5</f>
        <v>10</v>
      </c>
      <c r="J28" s="8">
        <v>80</v>
      </c>
      <c r="K28" s="23">
        <f>27-18</f>
        <v>9</v>
      </c>
      <c r="L28" s="8">
        <v>55</v>
      </c>
      <c r="M28" s="8">
        <v>57</v>
      </c>
      <c r="N28" s="8">
        <v>42</v>
      </c>
      <c r="O28" s="8">
        <v>1</v>
      </c>
      <c r="P28" s="23">
        <f t="shared" si="0"/>
        <v>56</v>
      </c>
      <c r="Q28" s="8">
        <v>0</v>
      </c>
      <c r="R28" s="23">
        <f>6-69</f>
        <v>-63</v>
      </c>
      <c r="S28" s="8">
        <v>25</v>
      </c>
      <c r="T28" s="23">
        <f>45-33</f>
        <v>12</v>
      </c>
      <c r="U28" s="8">
        <v>22</v>
      </c>
      <c r="V28" s="20">
        <v>-0.7</v>
      </c>
      <c r="W28" s="23">
        <f>47-22</f>
        <v>25</v>
      </c>
      <c r="X28" s="8">
        <v>31</v>
      </c>
      <c r="Y28" s="23">
        <f>14-4</f>
        <v>10</v>
      </c>
      <c r="Z28" s="8">
        <v>82</v>
      </c>
      <c r="AA28" s="23">
        <f>41-20</f>
        <v>21</v>
      </c>
      <c r="AB28" s="8">
        <v>38</v>
      </c>
      <c r="AC28" s="8">
        <v>58</v>
      </c>
      <c r="AD28" s="8">
        <v>40</v>
      </c>
      <c r="AE28" s="8">
        <v>1</v>
      </c>
      <c r="AF28" s="23">
        <f t="shared" si="1"/>
        <v>57</v>
      </c>
      <c r="AG28" s="8">
        <v>1</v>
      </c>
      <c r="AH28" s="23">
        <f>9-72</f>
        <v>-63</v>
      </c>
      <c r="AI28" s="8">
        <v>19</v>
      </c>
      <c r="AJ28" s="23">
        <f>31-43</f>
        <v>-12</v>
      </c>
      <c r="AK28" s="8">
        <v>26</v>
      </c>
      <c r="AL28" s="20">
        <v>-1</v>
      </c>
      <c r="AM28" s="23">
        <f>33-14</f>
        <v>19</v>
      </c>
      <c r="AN28" s="8">
        <v>53</v>
      </c>
      <c r="AO28" s="23">
        <f>11-0</f>
        <v>11</v>
      </c>
      <c r="AP28" s="8">
        <v>89</v>
      </c>
      <c r="AQ28" s="23">
        <f>26-13</f>
        <v>13</v>
      </c>
      <c r="AR28" s="8">
        <v>62</v>
      </c>
      <c r="AS28" s="8">
        <v>58</v>
      </c>
      <c r="AT28" s="8">
        <v>41</v>
      </c>
      <c r="AU28" s="8">
        <v>1</v>
      </c>
      <c r="AV28" s="23">
        <f t="shared" si="2"/>
        <v>57</v>
      </c>
      <c r="AW28" s="8">
        <v>0</v>
      </c>
      <c r="AX28" s="23">
        <f>7-63</f>
        <v>-56</v>
      </c>
      <c r="AY28" s="8">
        <v>30</v>
      </c>
      <c r="AZ28" s="23">
        <f>41-33</f>
        <v>8</v>
      </c>
      <c r="BA28" s="8">
        <v>26</v>
      </c>
      <c r="BB28" s="20">
        <v>-0.6</v>
      </c>
      <c r="BC28" s="23">
        <f>47-12</f>
        <v>35</v>
      </c>
      <c r="BD28" s="8">
        <v>42</v>
      </c>
      <c r="BE28" s="23">
        <f>21-0</f>
        <v>21</v>
      </c>
      <c r="BF28" s="8">
        <v>78</v>
      </c>
      <c r="BG28" s="23">
        <f>40-14</f>
        <v>26</v>
      </c>
      <c r="BH28" s="8">
        <v>47</v>
      </c>
      <c r="BI28" s="8">
        <v>52</v>
      </c>
      <c r="BJ28" s="8">
        <v>45</v>
      </c>
      <c r="BK28" s="8">
        <v>1</v>
      </c>
      <c r="BL28" s="23">
        <f t="shared" si="3"/>
        <v>51</v>
      </c>
      <c r="BM28" s="8">
        <v>2</v>
      </c>
      <c r="BN28" s="23">
        <f>11-61</f>
        <v>-50</v>
      </c>
      <c r="BO28" s="8">
        <v>27</v>
      </c>
      <c r="BP28" s="23">
        <f>35-35</f>
        <v>0</v>
      </c>
      <c r="BQ28" s="8">
        <v>30</v>
      </c>
      <c r="BR28" s="20">
        <v>-1.2</v>
      </c>
      <c r="BS28" s="23">
        <f>57-18</f>
        <v>39</v>
      </c>
      <c r="BT28" s="8">
        <v>26</v>
      </c>
      <c r="BU28" s="23">
        <f>20-1</f>
        <v>19</v>
      </c>
      <c r="BV28" s="8">
        <v>78</v>
      </c>
      <c r="BW28" s="23">
        <f>43-14</f>
        <v>29</v>
      </c>
      <c r="BX28" s="8">
        <v>42</v>
      </c>
      <c r="BY28" s="8">
        <v>55</v>
      </c>
      <c r="BZ28" s="8">
        <v>45</v>
      </c>
      <c r="CA28" s="8">
        <v>0</v>
      </c>
      <c r="CB28" s="23">
        <f t="shared" si="4"/>
        <v>55</v>
      </c>
      <c r="CC28" s="8">
        <v>0</v>
      </c>
      <c r="CD28" s="23">
        <f>8-75</f>
        <v>-67</v>
      </c>
      <c r="CE28" s="8">
        <v>17</v>
      </c>
      <c r="CF28" s="23">
        <f>44-25</f>
        <v>19</v>
      </c>
      <c r="CG28" s="8">
        <v>31</v>
      </c>
      <c r="CH28" s="20">
        <v>-0.4</v>
      </c>
      <c r="CI28" s="23">
        <f>48-25</f>
        <v>23</v>
      </c>
      <c r="CJ28" s="8">
        <v>27</v>
      </c>
      <c r="CK28" s="23">
        <f>14-7</f>
        <v>7</v>
      </c>
      <c r="CL28" s="8">
        <v>79</v>
      </c>
      <c r="CM28" s="23">
        <f>44-8</f>
        <v>36</v>
      </c>
      <c r="CN28" s="8">
        <v>48</v>
      </c>
      <c r="CO28" s="8">
        <v>59</v>
      </c>
      <c r="CP28" s="8">
        <v>40</v>
      </c>
      <c r="CQ28" s="8">
        <v>0</v>
      </c>
      <c r="CR28" s="23">
        <f t="shared" si="5"/>
        <v>59</v>
      </c>
      <c r="CS28" s="8">
        <v>1</v>
      </c>
      <c r="CT28" s="23">
        <f>8-60</f>
        <v>-52</v>
      </c>
      <c r="CU28" s="8">
        <v>32</v>
      </c>
      <c r="CV28" s="23">
        <f>35-37</f>
        <v>-2</v>
      </c>
      <c r="CW28" s="8">
        <v>29</v>
      </c>
      <c r="CX28" s="20">
        <v>-1.3</v>
      </c>
      <c r="CY28" s="23">
        <f>56-12</f>
        <v>44</v>
      </c>
      <c r="CZ28" s="8">
        <v>33</v>
      </c>
      <c r="DA28" s="23">
        <f>19-1</f>
        <v>18</v>
      </c>
      <c r="DB28" s="8">
        <v>80</v>
      </c>
      <c r="DC28" s="23">
        <f>39-16</f>
        <v>23</v>
      </c>
      <c r="DD28" s="8">
        <v>45</v>
      </c>
      <c r="DE28" s="8">
        <v>46</v>
      </c>
      <c r="DF28" s="8">
        <v>50</v>
      </c>
      <c r="DG28" s="8">
        <v>3</v>
      </c>
      <c r="DH28" s="23">
        <f t="shared" si="6"/>
        <v>43</v>
      </c>
      <c r="DI28" s="8">
        <v>1</v>
      </c>
      <c r="DJ28" s="23">
        <f>9-57</f>
        <v>-48</v>
      </c>
      <c r="DK28" s="8">
        <v>34</v>
      </c>
      <c r="DL28" s="23">
        <f>44-21</f>
        <v>23</v>
      </c>
      <c r="DM28" s="8">
        <v>36</v>
      </c>
      <c r="DN28" s="20">
        <v>0.2</v>
      </c>
      <c r="DO28" s="23">
        <f>51-10</f>
        <v>41</v>
      </c>
      <c r="DP28" s="8">
        <v>39</v>
      </c>
      <c r="DQ28" s="23">
        <f>11-0</f>
        <v>11</v>
      </c>
      <c r="DR28" s="8">
        <v>89</v>
      </c>
      <c r="DS28" s="23">
        <f>43-14</f>
        <v>29</v>
      </c>
      <c r="DT28" s="8">
        <v>44</v>
      </c>
      <c r="DU28" s="8">
        <v>51</v>
      </c>
      <c r="DV28" s="8">
        <v>49</v>
      </c>
      <c r="DW28" s="8">
        <v>0</v>
      </c>
      <c r="DX28" s="23">
        <f t="shared" si="7"/>
        <v>51</v>
      </c>
      <c r="DY28" s="8">
        <v>0</v>
      </c>
      <c r="DZ28" s="23">
        <f>20-54</f>
        <v>-34</v>
      </c>
      <c r="EA28" s="8">
        <v>26</v>
      </c>
      <c r="EB28" s="23">
        <f>25-46</f>
        <v>-21</v>
      </c>
      <c r="EC28" s="8">
        <v>29</v>
      </c>
      <c r="ED28" s="20">
        <v>-2.4</v>
      </c>
      <c r="EE28" s="23">
        <f>37-17</f>
        <v>20</v>
      </c>
      <c r="EF28" s="8">
        <v>46</v>
      </c>
      <c r="EG28" s="23">
        <f>27-2</f>
        <v>25</v>
      </c>
      <c r="EH28" s="8">
        <v>71</v>
      </c>
      <c r="EI28" s="23">
        <f>25-18</f>
        <v>7</v>
      </c>
      <c r="EJ28" s="8">
        <v>57</v>
      </c>
      <c r="EK28" s="8">
        <v>46</v>
      </c>
      <c r="EL28" s="8">
        <v>52</v>
      </c>
      <c r="EM28" s="8">
        <v>1</v>
      </c>
      <c r="EN28" s="23">
        <f t="shared" si="8"/>
        <v>45</v>
      </c>
      <c r="EO28" s="8">
        <v>1</v>
      </c>
      <c r="EP28" s="23">
        <f>9-65</f>
        <v>-56</v>
      </c>
      <c r="EQ28" s="8">
        <v>26</v>
      </c>
      <c r="ER28" s="23">
        <f>41-33</f>
        <v>8</v>
      </c>
      <c r="ES28" s="8">
        <v>26</v>
      </c>
      <c r="ET28" s="20">
        <v>-0.8</v>
      </c>
      <c r="EU28" s="23">
        <f>46-17</f>
        <v>29</v>
      </c>
      <c r="EV28" s="8">
        <v>37</v>
      </c>
      <c r="EW28" s="23">
        <f>17-2</f>
        <v>15</v>
      </c>
      <c r="EX28" s="8">
        <v>80</v>
      </c>
      <c r="EY28" s="23">
        <f>35-15</f>
        <v>20</v>
      </c>
      <c r="EZ28" s="8">
        <v>49</v>
      </c>
      <c r="FA28" s="8">
        <v>54</v>
      </c>
      <c r="FB28" s="8">
        <v>45</v>
      </c>
      <c r="FC28" s="8">
        <v>1</v>
      </c>
      <c r="FD28" s="23">
        <f t="shared" si="9"/>
        <v>53</v>
      </c>
      <c r="FE28" s="8">
        <v>1</v>
      </c>
      <c r="FF28" s="23">
        <f>12-58</f>
        <v>-46</v>
      </c>
      <c r="FG28" s="8">
        <v>31</v>
      </c>
      <c r="FH28" s="23">
        <f>35-35</f>
        <v>0</v>
      </c>
      <c r="FI28" s="8">
        <v>30</v>
      </c>
      <c r="FJ28" s="20">
        <v>-0.937</v>
      </c>
      <c r="FK28" s="23">
        <f>38-24</f>
        <v>14</v>
      </c>
      <c r="FL28" s="8">
        <v>38</v>
      </c>
      <c r="FM28" s="23">
        <f>13-4</f>
        <v>9</v>
      </c>
      <c r="FN28" s="8">
        <v>82</v>
      </c>
      <c r="FO28" s="23">
        <f>33-21</f>
        <v>12</v>
      </c>
      <c r="FP28" s="8">
        <v>46</v>
      </c>
      <c r="FQ28" s="8">
        <v>47.39326296396876</v>
      </c>
      <c r="FR28" s="8">
        <v>51.09003814644715</v>
      </c>
      <c r="FS28" s="8">
        <v>0.849830386850515</v>
      </c>
      <c r="FT28" s="112">
        <f t="shared" si="21"/>
        <v>46.543432577118246</v>
      </c>
      <c r="FU28" s="23">
        <v>0.6668685027335829</v>
      </c>
    </row>
    <row r="29" spans="1:177" ht="12">
      <c r="A29" s="1" t="s">
        <v>36</v>
      </c>
      <c r="B29" s="23">
        <f>47-17</f>
        <v>30</v>
      </c>
      <c r="C29" s="8">
        <v>36</v>
      </c>
      <c r="D29" s="23">
        <f>38-37</f>
        <v>1</v>
      </c>
      <c r="E29" s="8">
        <v>25</v>
      </c>
      <c r="F29" s="20">
        <v>-0.7</v>
      </c>
      <c r="G29" s="23">
        <f>31-30</f>
        <v>1</v>
      </c>
      <c r="H29" s="8">
        <v>39</v>
      </c>
      <c r="I29" s="23">
        <f>7-0</f>
        <v>7</v>
      </c>
      <c r="J29" s="8">
        <v>92</v>
      </c>
      <c r="K29" s="23">
        <f>19-22</f>
        <v>-3</v>
      </c>
      <c r="L29" s="8">
        <v>59</v>
      </c>
      <c r="M29" s="8">
        <v>60</v>
      </c>
      <c r="N29" s="8">
        <v>39</v>
      </c>
      <c r="O29" s="8">
        <v>1</v>
      </c>
      <c r="P29" s="23">
        <f t="shared" si="0"/>
        <v>59</v>
      </c>
      <c r="Q29" s="8">
        <v>0</v>
      </c>
      <c r="R29" s="23">
        <f>50-18</f>
        <v>32</v>
      </c>
      <c r="S29" s="8">
        <v>31</v>
      </c>
      <c r="T29" s="23">
        <f>42-32</f>
        <v>10</v>
      </c>
      <c r="U29" s="8">
        <v>26</v>
      </c>
      <c r="V29" s="20">
        <v>-0.4</v>
      </c>
      <c r="W29" s="23">
        <f>40-26</f>
        <v>14</v>
      </c>
      <c r="X29" s="8">
        <v>34</v>
      </c>
      <c r="Y29" s="23">
        <f>7-1</f>
        <v>6</v>
      </c>
      <c r="Z29" s="8">
        <v>92</v>
      </c>
      <c r="AA29" s="23">
        <f>34-22</f>
        <v>12</v>
      </c>
      <c r="AB29" s="8">
        <v>44</v>
      </c>
      <c r="AC29" s="8">
        <v>53</v>
      </c>
      <c r="AD29" s="8">
        <v>46</v>
      </c>
      <c r="AE29" s="8">
        <v>1</v>
      </c>
      <c r="AF29" s="23">
        <f t="shared" si="1"/>
        <v>52</v>
      </c>
      <c r="AG29" s="8">
        <v>0</v>
      </c>
      <c r="AH29" s="23">
        <f>25-37</f>
        <v>-12</v>
      </c>
      <c r="AI29" s="8">
        <v>39</v>
      </c>
      <c r="AJ29" s="23">
        <f>24-49</f>
        <v>-25</v>
      </c>
      <c r="AK29" s="8">
        <v>27</v>
      </c>
      <c r="AL29" s="20">
        <v>-2.3</v>
      </c>
      <c r="AM29" s="23">
        <f>26-19</f>
        <v>7</v>
      </c>
      <c r="AN29" s="8">
        <v>55</v>
      </c>
      <c r="AO29" s="23">
        <f>7-0</f>
        <v>7</v>
      </c>
      <c r="AP29" s="8">
        <v>92</v>
      </c>
      <c r="AQ29" s="23">
        <f>24-20</f>
        <v>4</v>
      </c>
      <c r="AR29" s="8">
        <v>57</v>
      </c>
      <c r="AS29" s="8">
        <v>52</v>
      </c>
      <c r="AT29" s="8">
        <v>48</v>
      </c>
      <c r="AU29" s="8">
        <v>0</v>
      </c>
      <c r="AV29" s="23">
        <f t="shared" si="2"/>
        <v>52</v>
      </c>
      <c r="AW29" s="8">
        <v>0</v>
      </c>
      <c r="AX29" s="23">
        <f>41-16</f>
        <v>25</v>
      </c>
      <c r="AY29" s="8">
        <v>43</v>
      </c>
      <c r="AZ29" s="23">
        <f>45-32</f>
        <v>13</v>
      </c>
      <c r="BA29" s="8">
        <v>23</v>
      </c>
      <c r="BB29" s="20">
        <v>-0.2</v>
      </c>
      <c r="BC29" s="23">
        <f>40-18</f>
        <v>22</v>
      </c>
      <c r="BD29" s="8">
        <v>42</v>
      </c>
      <c r="BE29" s="23">
        <f>9-4</f>
        <v>5</v>
      </c>
      <c r="BF29" s="8">
        <v>87</v>
      </c>
      <c r="BG29" s="23">
        <f>36-17</f>
        <v>19</v>
      </c>
      <c r="BH29" s="8">
        <v>46</v>
      </c>
      <c r="BI29" s="8">
        <v>52</v>
      </c>
      <c r="BJ29" s="8">
        <v>47</v>
      </c>
      <c r="BK29" s="8">
        <v>0</v>
      </c>
      <c r="BL29" s="23">
        <f t="shared" si="3"/>
        <v>52</v>
      </c>
      <c r="BM29" s="8">
        <v>0</v>
      </c>
      <c r="BN29" s="23">
        <f>44-12</f>
        <v>32</v>
      </c>
      <c r="BO29" s="8">
        <v>45</v>
      </c>
      <c r="BP29" s="23">
        <f>43-31</f>
        <v>12</v>
      </c>
      <c r="BQ29" s="8">
        <v>26</v>
      </c>
      <c r="BR29" s="20">
        <v>0.2</v>
      </c>
      <c r="BS29" s="23">
        <f>33-20</f>
        <v>13</v>
      </c>
      <c r="BT29" s="8">
        <v>47</v>
      </c>
      <c r="BU29" s="23">
        <f>3-1</f>
        <v>2</v>
      </c>
      <c r="BV29" s="8">
        <v>96</v>
      </c>
      <c r="BW29" s="23">
        <f>27-17</f>
        <v>10</v>
      </c>
      <c r="BX29" s="8">
        <v>56</v>
      </c>
      <c r="BY29" s="8">
        <v>52</v>
      </c>
      <c r="BZ29" s="8">
        <v>48</v>
      </c>
      <c r="CA29" s="8">
        <v>0</v>
      </c>
      <c r="CB29" s="23">
        <f t="shared" si="4"/>
        <v>52</v>
      </c>
      <c r="CC29" s="8">
        <v>0</v>
      </c>
      <c r="CD29" s="23">
        <f>47-18</f>
        <v>29</v>
      </c>
      <c r="CE29" s="8">
        <v>36</v>
      </c>
      <c r="CF29" s="23">
        <f>51-28</f>
        <v>23</v>
      </c>
      <c r="CG29" s="8">
        <v>21</v>
      </c>
      <c r="CH29" s="20">
        <v>0.3</v>
      </c>
      <c r="CI29" s="23">
        <f>34-35</f>
        <v>-1</v>
      </c>
      <c r="CJ29" s="8">
        <v>31</v>
      </c>
      <c r="CK29" s="23">
        <f>7-1</f>
        <v>6</v>
      </c>
      <c r="CL29" s="8">
        <v>92</v>
      </c>
      <c r="CM29" s="23">
        <f>38-22</f>
        <v>16</v>
      </c>
      <c r="CN29" s="8">
        <v>40</v>
      </c>
      <c r="CO29" s="8">
        <v>55</v>
      </c>
      <c r="CP29" s="8">
        <v>44</v>
      </c>
      <c r="CQ29" s="8">
        <v>1</v>
      </c>
      <c r="CR29" s="23">
        <f t="shared" si="5"/>
        <v>54</v>
      </c>
      <c r="CS29" s="8">
        <v>0</v>
      </c>
      <c r="CT29" s="23">
        <f>41-27</f>
        <v>14</v>
      </c>
      <c r="CU29" s="8">
        <v>32</v>
      </c>
      <c r="CV29" s="23">
        <f>44-33</f>
        <v>11</v>
      </c>
      <c r="CW29" s="8">
        <v>23</v>
      </c>
      <c r="CX29" s="20">
        <v>0.1</v>
      </c>
      <c r="CY29" s="23">
        <f>48-12</f>
        <v>36</v>
      </c>
      <c r="CZ29" s="8">
        <v>40</v>
      </c>
      <c r="DA29" s="23">
        <f>10-0</f>
        <v>10</v>
      </c>
      <c r="DB29" s="8">
        <v>90</v>
      </c>
      <c r="DC29" s="23">
        <f>38-12</f>
        <v>26</v>
      </c>
      <c r="DD29" s="8">
        <v>50</v>
      </c>
      <c r="DE29" s="8">
        <v>52</v>
      </c>
      <c r="DF29" s="8">
        <v>45</v>
      </c>
      <c r="DG29" s="8">
        <v>2</v>
      </c>
      <c r="DH29" s="23">
        <f t="shared" si="6"/>
        <v>50</v>
      </c>
      <c r="DI29" s="8">
        <v>0</v>
      </c>
      <c r="DJ29" s="23">
        <f>44-14</f>
        <v>30</v>
      </c>
      <c r="DK29" s="8">
        <v>42</v>
      </c>
      <c r="DL29" s="23">
        <f>49-24</f>
        <v>25</v>
      </c>
      <c r="DM29" s="8">
        <v>25</v>
      </c>
      <c r="DN29" s="20">
        <v>0</v>
      </c>
      <c r="DO29" s="23">
        <f>38-20</f>
        <v>18</v>
      </c>
      <c r="DP29" s="8">
        <v>42</v>
      </c>
      <c r="DQ29" s="23">
        <f>3-0</f>
        <v>3</v>
      </c>
      <c r="DR29" s="8">
        <v>96</v>
      </c>
      <c r="DS29" s="23">
        <f>31-18</f>
        <v>13</v>
      </c>
      <c r="DT29" s="8">
        <v>51</v>
      </c>
      <c r="DU29" s="8">
        <v>52</v>
      </c>
      <c r="DV29" s="8">
        <v>47</v>
      </c>
      <c r="DW29" s="8">
        <v>1</v>
      </c>
      <c r="DX29" s="23">
        <f t="shared" si="7"/>
        <v>51</v>
      </c>
      <c r="DY29" s="8">
        <v>0</v>
      </c>
      <c r="DZ29" s="23">
        <f>37-22</f>
        <v>15</v>
      </c>
      <c r="EA29" s="8">
        <v>41</v>
      </c>
      <c r="EB29" s="23">
        <f>29-36</f>
        <v>-7</v>
      </c>
      <c r="EC29" s="8">
        <v>35</v>
      </c>
      <c r="ED29" s="20">
        <v>-1</v>
      </c>
      <c r="EE29" s="23">
        <f>30-22</f>
        <v>8</v>
      </c>
      <c r="EF29" s="8">
        <v>49</v>
      </c>
      <c r="EG29" s="23">
        <f>8-1</f>
        <v>7</v>
      </c>
      <c r="EH29" s="8">
        <v>92</v>
      </c>
      <c r="EI29" s="23">
        <f>24-19</f>
        <v>5</v>
      </c>
      <c r="EJ29" s="8">
        <v>57</v>
      </c>
      <c r="EK29" s="8">
        <v>43</v>
      </c>
      <c r="EL29" s="8">
        <v>56</v>
      </c>
      <c r="EM29" s="8">
        <v>1</v>
      </c>
      <c r="EN29" s="23">
        <f t="shared" si="8"/>
        <v>42</v>
      </c>
      <c r="EO29" s="8">
        <v>0</v>
      </c>
      <c r="EP29" s="23">
        <f>43-19</f>
        <v>24</v>
      </c>
      <c r="EQ29" s="8">
        <v>38</v>
      </c>
      <c r="ER29" s="23">
        <f>40-34</f>
        <v>6</v>
      </c>
      <c r="ES29" s="8">
        <v>25</v>
      </c>
      <c r="ET29" s="20">
        <v>-0.5</v>
      </c>
      <c r="EU29" s="23">
        <f>35-23</f>
        <v>12</v>
      </c>
      <c r="EV29" s="8">
        <v>42</v>
      </c>
      <c r="EW29" s="23">
        <f>7-1</f>
        <v>6</v>
      </c>
      <c r="EX29" s="8">
        <v>92</v>
      </c>
      <c r="EY29" s="23">
        <f>29-19</f>
        <v>10</v>
      </c>
      <c r="EZ29" s="8">
        <v>52</v>
      </c>
      <c r="FA29" s="8">
        <v>54</v>
      </c>
      <c r="FB29" s="8">
        <v>46</v>
      </c>
      <c r="FC29" s="8">
        <v>1</v>
      </c>
      <c r="FD29" s="23">
        <f t="shared" si="9"/>
        <v>53</v>
      </c>
      <c r="FE29" s="8">
        <v>0</v>
      </c>
      <c r="FF29" s="23">
        <f>37-24</f>
        <v>13</v>
      </c>
      <c r="FG29" s="8">
        <v>39</v>
      </c>
      <c r="FH29" s="23">
        <f>32-35</f>
        <v>-3</v>
      </c>
      <c r="FI29" s="8">
        <v>33</v>
      </c>
      <c r="FJ29" s="20">
        <v>-1.321</v>
      </c>
      <c r="FK29" s="23">
        <f>29-31</f>
        <v>-2</v>
      </c>
      <c r="FL29" s="8">
        <v>40</v>
      </c>
      <c r="FM29" s="23">
        <f>11-3</f>
        <v>8</v>
      </c>
      <c r="FN29" s="8">
        <v>86</v>
      </c>
      <c r="FO29" s="23">
        <f>27-25</f>
        <v>2</v>
      </c>
      <c r="FP29" s="8">
        <v>49</v>
      </c>
      <c r="FQ29" s="8">
        <v>42.61899147707748</v>
      </c>
      <c r="FR29" s="8">
        <v>56.27443038082111</v>
      </c>
      <c r="FS29" s="8">
        <v>0.8485723190185921</v>
      </c>
      <c r="FT29" s="112">
        <f t="shared" si="21"/>
        <v>41.770419158058886</v>
      </c>
      <c r="FU29" s="23">
        <v>0.25800582308282405</v>
      </c>
    </row>
    <row r="30" spans="1:177" ht="12">
      <c r="A30" s="1" t="s">
        <v>32</v>
      </c>
      <c r="B30" s="23">
        <f>16-61</f>
        <v>-45</v>
      </c>
      <c r="C30" s="8">
        <v>23</v>
      </c>
      <c r="D30" s="23">
        <f>43-31</f>
        <v>12</v>
      </c>
      <c r="E30" s="8">
        <v>26</v>
      </c>
      <c r="F30" s="20">
        <v>-0.1</v>
      </c>
      <c r="G30" s="23">
        <f>69-13</f>
        <v>56</v>
      </c>
      <c r="H30" s="8">
        <v>18</v>
      </c>
      <c r="I30" s="23">
        <f>7-5</f>
        <v>2</v>
      </c>
      <c r="J30" s="8">
        <v>88</v>
      </c>
      <c r="K30" s="23">
        <f>40-14</f>
        <v>26</v>
      </c>
      <c r="L30" s="8">
        <v>46</v>
      </c>
      <c r="M30" s="8">
        <v>58</v>
      </c>
      <c r="N30" s="8">
        <v>39</v>
      </c>
      <c r="O30" s="8">
        <v>3</v>
      </c>
      <c r="P30" s="23">
        <f t="shared" si="0"/>
        <v>55</v>
      </c>
      <c r="Q30" s="8">
        <v>0</v>
      </c>
      <c r="R30" s="23">
        <f>12-59</f>
        <v>-47</v>
      </c>
      <c r="S30" s="8">
        <v>28</v>
      </c>
      <c r="T30" s="23">
        <f>40-31</f>
        <v>9</v>
      </c>
      <c r="U30" s="8">
        <v>29</v>
      </c>
      <c r="V30" s="20">
        <v>-0.7</v>
      </c>
      <c r="W30" s="23">
        <f>67-13</f>
        <v>54</v>
      </c>
      <c r="X30" s="8">
        <v>20</v>
      </c>
      <c r="Y30" s="23">
        <f>9-3</f>
        <v>6</v>
      </c>
      <c r="Z30" s="8">
        <v>88</v>
      </c>
      <c r="AA30" s="23">
        <f>59-11</f>
        <v>48</v>
      </c>
      <c r="AB30" s="8">
        <v>30</v>
      </c>
      <c r="AC30" s="8">
        <v>51</v>
      </c>
      <c r="AD30" s="8">
        <v>47</v>
      </c>
      <c r="AE30" s="8">
        <v>1</v>
      </c>
      <c r="AF30" s="23">
        <f t="shared" si="1"/>
        <v>50</v>
      </c>
      <c r="AG30" s="8">
        <v>1</v>
      </c>
      <c r="AH30" s="23">
        <f>14-45</f>
        <v>-31</v>
      </c>
      <c r="AI30" s="8">
        <v>42</v>
      </c>
      <c r="AJ30" s="23">
        <f>34-24</f>
        <v>10</v>
      </c>
      <c r="AK30" s="8">
        <v>42</v>
      </c>
      <c r="AL30" s="20">
        <v>-0.4</v>
      </c>
      <c r="AM30" s="23">
        <f>52-18</f>
        <v>34</v>
      </c>
      <c r="AN30" s="8">
        <v>30</v>
      </c>
      <c r="AO30" s="23">
        <f>7-3</f>
        <v>4</v>
      </c>
      <c r="AP30" s="8">
        <v>90</v>
      </c>
      <c r="AQ30" s="23">
        <f>36-15</f>
        <v>21</v>
      </c>
      <c r="AR30" s="8">
        <v>49</v>
      </c>
      <c r="AS30" s="8">
        <v>48</v>
      </c>
      <c r="AT30" s="8">
        <v>51</v>
      </c>
      <c r="AU30" s="8">
        <v>1</v>
      </c>
      <c r="AV30" s="23">
        <f t="shared" si="2"/>
        <v>47</v>
      </c>
      <c r="AW30" s="8">
        <v>0</v>
      </c>
      <c r="AX30" s="23">
        <f>11-60</f>
        <v>-49</v>
      </c>
      <c r="AY30" s="8">
        <v>29</v>
      </c>
      <c r="AZ30" s="23">
        <f>46-27</f>
        <v>19</v>
      </c>
      <c r="BA30" s="8">
        <v>27</v>
      </c>
      <c r="BB30" s="20">
        <v>0.4</v>
      </c>
      <c r="BC30" s="23">
        <f>68-14</f>
        <v>54</v>
      </c>
      <c r="BD30" s="8">
        <v>19</v>
      </c>
      <c r="BE30" s="23">
        <f>10-1</f>
        <v>9</v>
      </c>
      <c r="BF30" s="8">
        <v>89</v>
      </c>
      <c r="BG30" s="23">
        <f>63-14</f>
        <v>49</v>
      </c>
      <c r="BH30" s="8">
        <v>23</v>
      </c>
      <c r="BI30" s="8">
        <v>60</v>
      </c>
      <c r="BJ30" s="8">
        <v>38</v>
      </c>
      <c r="BK30" s="8">
        <v>2</v>
      </c>
      <c r="BL30" s="23">
        <f t="shared" si="3"/>
        <v>58</v>
      </c>
      <c r="BM30" s="8">
        <v>0</v>
      </c>
      <c r="BN30" s="23">
        <f>15-51</f>
        <v>-36</v>
      </c>
      <c r="BO30" s="8">
        <v>35</v>
      </c>
      <c r="BP30" s="23">
        <f>32-33</f>
        <v>-1</v>
      </c>
      <c r="BQ30" s="8">
        <v>35</v>
      </c>
      <c r="BR30" s="20">
        <v>-0.8</v>
      </c>
      <c r="BS30" s="23">
        <f>62-19</f>
        <v>43</v>
      </c>
      <c r="BT30" s="8">
        <v>19</v>
      </c>
      <c r="BU30" s="23">
        <f>9-3</f>
        <v>6</v>
      </c>
      <c r="BV30" s="8">
        <v>89</v>
      </c>
      <c r="BW30" s="23">
        <f>55-12</f>
        <v>43</v>
      </c>
      <c r="BX30" s="8">
        <v>33</v>
      </c>
      <c r="BY30" s="8">
        <v>43</v>
      </c>
      <c r="BZ30" s="8">
        <v>57</v>
      </c>
      <c r="CA30" s="8">
        <v>0</v>
      </c>
      <c r="CB30" s="23">
        <f t="shared" si="4"/>
        <v>43</v>
      </c>
      <c r="CC30" s="8">
        <v>0</v>
      </c>
      <c r="CD30" s="23">
        <f>23-41</f>
        <v>-18</v>
      </c>
      <c r="CE30" s="8">
        <v>36</v>
      </c>
      <c r="CF30" s="23">
        <f>39-25</f>
        <v>14</v>
      </c>
      <c r="CG30" s="8">
        <v>36</v>
      </c>
      <c r="CH30" s="20">
        <v>-0.5</v>
      </c>
      <c r="CI30" s="23">
        <f>49-20</f>
        <v>29</v>
      </c>
      <c r="CJ30" s="8">
        <v>31</v>
      </c>
      <c r="CK30" s="23">
        <f>9-1</f>
        <v>8</v>
      </c>
      <c r="CL30" s="8">
        <v>90</v>
      </c>
      <c r="CM30" s="23">
        <f>39-19</f>
        <v>20</v>
      </c>
      <c r="CN30" s="8">
        <v>42</v>
      </c>
      <c r="CO30" s="8">
        <v>45</v>
      </c>
      <c r="CP30" s="8">
        <v>54</v>
      </c>
      <c r="CQ30" s="8">
        <v>1</v>
      </c>
      <c r="CR30" s="23">
        <f t="shared" si="5"/>
        <v>44</v>
      </c>
      <c r="CS30" s="8">
        <v>0</v>
      </c>
      <c r="CT30" s="23">
        <f>14-50</f>
        <v>-36</v>
      </c>
      <c r="CU30" s="8">
        <v>35</v>
      </c>
      <c r="CV30" s="23">
        <f>40-28</f>
        <v>12</v>
      </c>
      <c r="CW30" s="8">
        <v>32</v>
      </c>
      <c r="CX30" s="20">
        <v>0</v>
      </c>
      <c r="CY30" s="23">
        <f>65-7</f>
        <v>58</v>
      </c>
      <c r="CZ30" s="8">
        <v>28</v>
      </c>
      <c r="DA30" s="23">
        <f>14-3</f>
        <v>11</v>
      </c>
      <c r="DB30" s="8">
        <v>83</v>
      </c>
      <c r="DC30" s="23">
        <f>43-11</f>
        <v>32</v>
      </c>
      <c r="DD30" s="8">
        <v>47</v>
      </c>
      <c r="DE30" s="8">
        <v>53</v>
      </c>
      <c r="DF30" s="8">
        <v>45</v>
      </c>
      <c r="DG30" s="8">
        <v>1</v>
      </c>
      <c r="DH30" s="23">
        <f t="shared" si="6"/>
        <v>52</v>
      </c>
      <c r="DI30" s="8">
        <v>1</v>
      </c>
      <c r="DJ30" s="23">
        <f>12-54</f>
        <v>-42</v>
      </c>
      <c r="DK30" s="8">
        <v>34</v>
      </c>
      <c r="DL30" s="23">
        <f>50-19</f>
        <v>31</v>
      </c>
      <c r="DM30" s="8">
        <v>32</v>
      </c>
      <c r="DN30" s="20">
        <v>0.9</v>
      </c>
      <c r="DO30" s="23">
        <f>69-4</f>
        <v>65</v>
      </c>
      <c r="DP30" s="8">
        <v>27</v>
      </c>
      <c r="DQ30" s="23">
        <f>6-5</f>
        <v>1</v>
      </c>
      <c r="DR30" s="8">
        <v>90</v>
      </c>
      <c r="DS30" s="23">
        <f>53-7</f>
        <v>46</v>
      </c>
      <c r="DT30" s="8">
        <v>40</v>
      </c>
      <c r="DU30" s="8">
        <v>65</v>
      </c>
      <c r="DV30" s="8">
        <v>32</v>
      </c>
      <c r="DW30" s="8">
        <v>3</v>
      </c>
      <c r="DX30" s="23">
        <f t="shared" si="7"/>
        <v>62</v>
      </c>
      <c r="DY30" s="8">
        <v>0</v>
      </c>
      <c r="DZ30" s="23">
        <f>18-41</f>
        <v>-23</v>
      </c>
      <c r="EA30" s="8">
        <v>40</v>
      </c>
      <c r="EB30" s="23">
        <f>24-31</f>
        <v>-7</v>
      </c>
      <c r="EC30" s="8">
        <v>45</v>
      </c>
      <c r="ED30" s="20">
        <v>-1.2</v>
      </c>
      <c r="EE30" s="23">
        <f>46-27</f>
        <v>19</v>
      </c>
      <c r="EF30" s="8">
        <v>27</v>
      </c>
      <c r="EG30" s="23">
        <f>12-5</f>
        <v>7</v>
      </c>
      <c r="EH30" s="8">
        <v>82</v>
      </c>
      <c r="EI30" s="23">
        <f>41-21</f>
        <v>20</v>
      </c>
      <c r="EJ30" s="8">
        <v>38</v>
      </c>
      <c r="EK30" s="8">
        <v>33</v>
      </c>
      <c r="EL30" s="8">
        <v>60</v>
      </c>
      <c r="EM30" s="8">
        <v>6</v>
      </c>
      <c r="EN30" s="23">
        <f t="shared" si="8"/>
        <v>27</v>
      </c>
      <c r="EO30" s="8">
        <v>0</v>
      </c>
      <c r="EP30" s="23">
        <f>15-54</f>
        <v>-39</v>
      </c>
      <c r="EQ30" s="8">
        <v>31</v>
      </c>
      <c r="ER30" s="23">
        <f>40-28</f>
        <v>12</v>
      </c>
      <c r="ES30" s="8">
        <v>32</v>
      </c>
      <c r="ET30" s="20">
        <v>-0.2</v>
      </c>
      <c r="EU30" s="23">
        <f>63-14</f>
        <v>49</v>
      </c>
      <c r="EV30" s="8">
        <v>23</v>
      </c>
      <c r="EW30" s="23">
        <f>9-3</f>
        <v>6</v>
      </c>
      <c r="EX30" s="8">
        <v>88</v>
      </c>
      <c r="EY30" s="23">
        <f>48-14</f>
        <v>34</v>
      </c>
      <c r="EZ30" s="8">
        <v>39</v>
      </c>
      <c r="FA30" s="8">
        <v>53</v>
      </c>
      <c r="FB30" s="8">
        <v>45</v>
      </c>
      <c r="FC30" s="8">
        <v>2</v>
      </c>
      <c r="FD30" s="23">
        <f t="shared" si="9"/>
        <v>51</v>
      </c>
      <c r="FE30" s="8">
        <v>0</v>
      </c>
      <c r="FF30" s="23">
        <f>20-46</f>
        <v>-26</v>
      </c>
      <c r="FG30" s="8">
        <v>34</v>
      </c>
      <c r="FH30" s="23">
        <f>32-34</f>
        <v>-2</v>
      </c>
      <c r="FI30" s="8">
        <v>34</v>
      </c>
      <c r="FJ30" s="20">
        <v>-0.941</v>
      </c>
      <c r="FK30" s="23">
        <f>58-17</f>
        <v>41</v>
      </c>
      <c r="FL30" s="8">
        <v>25</v>
      </c>
      <c r="FM30" s="23">
        <f>11-4</f>
        <v>7</v>
      </c>
      <c r="FN30" s="8">
        <v>85</v>
      </c>
      <c r="FO30" s="23">
        <f>48-17</f>
        <v>31</v>
      </c>
      <c r="FP30" s="8">
        <v>35</v>
      </c>
      <c r="FQ30" s="8">
        <v>47.0864488254727</v>
      </c>
      <c r="FR30" s="8">
        <v>51.27677490805232</v>
      </c>
      <c r="FS30" s="8">
        <v>1.524353425705364</v>
      </c>
      <c r="FT30" s="112">
        <f t="shared" si="21"/>
        <v>45.56209539976734</v>
      </c>
      <c r="FU30" s="23">
        <v>0.1124228407696222</v>
      </c>
    </row>
    <row r="31" spans="1:177" ht="12">
      <c r="A31" s="1" t="s">
        <v>33</v>
      </c>
      <c r="B31" s="23">
        <f>58-18</f>
        <v>40</v>
      </c>
      <c r="C31" s="8">
        <v>24</v>
      </c>
      <c r="D31" s="23">
        <f>57-16</f>
        <v>41</v>
      </c>
      <c r="E31" s="8">
        <v>28</v>
      </c>
      <c r="F31" s="20">
        <v>2.5</v>
      </c>
      <c r="G31" s="23">
        <f>41-27</f>
        <v>14</v>
      </c>
      <c r="H31" s="8">
        <v>32</v>
      </c>
      <c r="I31" s="23">
        <f>3-2</f>
        <v>1</v>
      </c>
      <c r="J31" s="8">
        <v>95</v>
      </c>
      <c r="K31" s="23">
        <f>21-25</f>
        <v>-4</v>
      </c>
      <c r="L31" s="8">
        <v>54</v>
      </c>
      <c r="M31" s="8">
        <v>56</v>
      </c>
      <c r="N31" s="8">
        <v>40</v>
      </c>
      <c r="O31" s="8">
        <v>4</v>
      </c>
      <c r="P31" s="23">
        <f t="shared" si="0"/>
        <v>52</v>
      </c>
      <c r="Q31" s="8">
        <v>0</v>
      </c>
      <c r="R31" s="23">
        <f>59-19</f>
        <v>40</v>
      </c>
      <c r="S31" s="8">
        <v>21</v>
      </c>
      <c r="T31" s="23">
        <f>60-23</f>
        <v>37</v>
      </c>
      <c r="U31" s="8">
        <v>17</v>
      </c>
      <c r="V31" s="20">
        <v>3.2</v>
      </c>
      <c r="W31" s="23">
        <f>40-26</f>
        <v>14</v>
      </c>
      <c r="X31" s="8">
        <v>34</v>
      </c>
      <c r="Y31" s="23">
        <f>9-2</f>
        <v>7</v>
      </c>
      <c r="Z31" s="8">
        <v>89</v>
      </c>
      <c r="AA31" s="23">
        <f>36-17</f>
        <v>19</v>
      </c>
      <c r="AB31" s="8">
        <v>46</v>
      </c>
      <c r="AC31" s="8">
        <v>60</v>
      </c>
      <c r="AD31" s="8">
        <v>40</v>
      </c>
      <c r="AE31" s="8">
        <v>0</v>
      </c>
      <c r="AF31" s="23">
        <f t="shared" si="1"/>
        <v>60</v>
      </c>
      <c r="AG31" s="8">
        <v>0</v>
      </c>
      <c r="AH31" s="23">
        <f>49-18</f>
        <v>31</v>
      </c>
      <c r="AI31" s="8">
        <v>34</v>
      </c>
      <c r="AJ31" s="23">
        <f>49-17</f>
        <v>32</v>
      </c>
      <c r="AK31" s="8">
        <v>34</v>
      </c>
      <c r="AL31" s="20">
        <v>1.7</v>
      </c>
      <c r="AM31" s="23">
        <f>30-27</f>
        <v>3</v>
      </c>
      <c r="AN31" s="8">
        <v>43</v>
      </c>
      <c r="AO31" s="23">
        <f>10-4</f>
        <v>6</v>
      </c>
      <c r="AP31" s="8">
        <v>86</v>
      </c>
      <c r="AQ31" s="23">
        <f>12-17</f>
        <v>-5</v>
      </c>
      <c r="AR31" s="8">
        <v>71</v>
      </c>
      <c r="AS31" s="8">
        <v>44</v>
      </c>
      <c r="AT31" s="8">
        <v>56</v>
      </c>
      <c r="AU31" s="8">
        <v>0</v>
      </c>
      <c r="AV31" s="23">
        <f t="shared" si="2"/>
        <v>44</v>
      </c>
      <c r="AW31" s="8">
        <v>0</v>
      </c>
      <c r="AX31" s="23">
        <f>50-16</f>
        <v>34</v>
      </c>
      <c r="AY31" s="8">
        <v>34</v>
      </c>
      <c r="AZ31" s="23">
        <f>58-18</f>
        <v>40</v>
      </c>
      <c r="BA31" s="8">
        <v>25</v>
      </c>
      <c r="BB31" s="20">
        <v>3.2</v>
      </c>
      <c r="BC31" s="23">
        <f>40-21</f>
        <v>19</v>
      </c>
      <c r="BD31" s="8">
        <v>38</v>
      </c>
      <c r="BE31" s="23">
        <f>6-1</f>
        <v>5</v>
      </c>
      <c r="BF31" s="8">
        <v>93</v>
      </c>
      <c r="BG31" s="23">
        <f>38-20</f>
        <v>18</v>
      </c>
      <c r="BH31" s="8">
        <v>42</v>
      </c>
      <c r="BI31" s="8">
        <v>52</v>
      </c>
      <c r="BJ31" s="8">
        <v>47</v>
      </c>
      <c r="BK31" s="8">
        <v>1</v>
      </c>
      <c r="BL31" s="23">
        <f t="shared" si="3"/>
        <v>51</v>
      </c>
      <c r="BM31" s="8">
        <v>0</v>
      </c>
      <c r="BN31" s="23">
        <f>55-20</f>
        <v>35</v>
      </c>
      <c r="BO31" s="8">
        <v>25</v>
      </c>
      <c r="BP31" s="23">
        <f>54-13</f>
        <v>41</v>
      </c>
      <c r="BQ31" s="8">
        <v>33</v>
      </c>
      <c r="BR31" s="20">
        <v>2.4</v>
      </c>
      <c r="BS31" s="23">
        <f>34-32</f>
        <v>2</v>
      </c>
      <c r="BT31" s="8">
        <v>35</v>
      </c>
      <c r="BU31" s="23">
        <f>11-2</f>
        <v>9</v>
      </c>
      <c r="BV31" s="8">
        <v>87</v>
      </c>
      <c r="BW31" s="23">
        <f>29-24</f>
        <v>5</v>
      </c>
      <c r="BX31" s="8">
        <v>47</v>
      </c>
      <c r="BY31" s="8">
        <v>49</v>
      </c>
      <c r="BZ31" s="8">
        <v>50</v>
      </c>
      <c r="CA31" s="8">
        <v>0</v>
      </c>
      <c r="CB31" s="23">
        <f t="shared" si="4"/>
        <v>49</v>
      </c>
      <c r="CC31" s="8">
        <v>0</v>
      </c>
      <c r="CD31" s="23">
        <f>44-25</f>
        <v>19</v>
      </c>
      <c r="CE31" s="8">
        <v>31</v>
      </c>
      <c r="CF31" s="23">
        <f>47-24</f>
        <v>23</v>
      </c>
      <c r="CG31" s="8">
        <v>30</v>
      </c>
      <c r="CH31" s="20">
        <v>1.1</v>
      </c>
      <c r="CI31" s="23">
        <f>25-30</f>
        <v>-5</v>
      </c>
      <c r="CJ31" s="8">
        <v>45</v>
      </c>
      <c r="CK31" s="23">
        <f>5-4</f>
        <v>1</v>
      </c>
      <c r="CL31" s="8">
        <v>91</v>
      </c>
      <c r="CM31" s="23">
        <f>24-21</f>
        <v>3</v>
      </c>
      <c r="CN31" s="8">
        <v>55</v>
      </c>
      <c r="CO31" s="8">
        <v>42</v>
      </c>
      <c r="CP31" s="8">
        <v>58</v>
      </c>
      <c r="CQ31" s="8">
        <v>1</v>
      </c>
      <c r="CR31" s="23">
        <f t="shared" si="5"/>
        <v>41</v>
      </c>
      <c r="CS31" s="8">
        <v>0</v>
      </c>
      <c r="CT31" s="23">
        <f>61-13</f>
        <v>48</v>
      </c>
      <c r="CU31" s="8">
        <v>26</v>
      </c>
      <c r="CV31" s="23">
        <f>57-15</f>
        <v>42</v>
      </c>
      <c r="CW31" s="8">
        <v>28</v>
      </c>
      <c r="CX31" s="20">
        <v>2.8</v>
      </c>
      <c r="CY31" s="23">
        <f>34-27</f>
        <v>7</v>
      </c>
      <c r="CZ31" s="8">
        <v>38</v>
      </c>
      <c r="DA31" s="23">
        <f>6-3</f>
        <v>3</v>
      </c>
      <c r="DB31" s="8">
        <v>91</v>
      </c>
      <c r="DC31" s="23">
        <f>17-19</f>
        <v>-2</v>
      </c>
      <c r="DD31" s="8">
        <v>63</v>
      </c>
      <c r="DE31" s="8">
        <v>53</v>
      </c>
      <c r="DF31" s="8">
        <v>45</v>
      </c>
      <c r="DG31" s="8">
        <v>2</v>
      </c>
      <c r="DH31" s="23">
        <f t="shared" si="6"/>
        <v>51</v>
      </c>
      <c r="DI31" s="8">
        <v>0</v>
      </c>
      <c r="DJ31" s="23">
        <f>57-14</f>
        <v>43</v>
      </c>
      <c r="DK31" s="8">
        <v>29</v>
      </c>
      <c r="DL31" s="23">
        <f>53-14</f>
        <v>39</v>
      </c>
      <c r="DM31" s="8">
        <v>33</v>
      </c>
      <c r="DN31" s="20">
        <v>2.9</v>
      </c>
      <c r="DO31" s="23">
        <f>42-16</f>
        <v>26</v>
      </c>
      <c r="DP31" s="8">
        <v>42</v>
      </c>
      <c r="DQ31" s="23">
        <f>9-1</f>
        <v>8</v>
      </c>
      <c r="DR31" s="8">
        <v>90</v>
      </c>
      <c r="DS31" s="23">
        <f>36-16</f>
        <v>20</v>
      </c>
      <c r="DT31" s="8">
        <v>48</v>
      </c>
      <c r="DU31" s="8">
        <v>48</v>
      </c>
      <c r="DV31" s="8">
        <v>52</v>
      </c>
      <c r="DW31" s="8">
        <v>0</v>
      </c>
      <c r="DX31" s="23">
        <f t="shared" si="7"/>
        <v>48</v>
      </c>
      <c r="DY31" s="8">
        <v>0</v>
      </c>
      <c r="DZ31" s="23">
        <f>40-19</f>
        <v>21</v>
      </c>
      <c r="EA31" s="8">
        <v>41</v>
      </c>
      <c r="EB31" s="23">
        <f>35-27</f>
        <v>8</v>
      </c>
      <c r="EC31" s="8">
        <v>38</v>
      </c>
      <c r="ED31" s="20">
        <v>0.1</v>
      </c>
      <c r="EE31" s="23">
        <f>21-44</f>
        <v>-23</v>
      </c>
      <c r="EF31" s="8">
        <v>35</v>
      </c>
      <c r="EG31" s="23">
        <f>12-3</f>
        <v>9</v>
      </c>
      <c r="EH31" s="8">
        <v>85</v>
      </c>
      <c r="EI31" s="23">
        <f>18-27</f>
        <v>-9</v>
      </c>
      <c r="EJ31" s="8">
        <v>54</v>
      </c>
      <c r="EK31" s="8">
        <v>45</v>
      </c>
      <c r="EL31" s="8">
        <v>53</v>
      </c>
      <c r="EM31" s="8">
        <v>1</v>
      </c>
      <c r="EN31" s="23">
        <f t="shared" si="8"/>
        <v>44</v>
      </c>
      <c r="EO31" s="8">
        <v>0</v>
      </c>
      <c r="EP31" s="23">
        <f>54-18</f>
        <v>36</v>
      </c>
      <c r="EQ31" s="8">
        <v>29</v>
      </c>
      <c r="ER31" s="23">
        <f>53-18</f>
        <v>35</v>
      </c>
      <c r="ES31" s="8">
        <v>29</v>
      </c>
      <c r="ET31" s="20">
        <v>2.4</v>
      </c>
      <c r="EU31" s="23">
        <f>36-27</f>
        <v>9</v>
      </c>
      <c r="EV31" s="8">
        <v>37</v>
      </c>
      <c r="EW31" s="23">
        <f>7-2</f>
        <v>5</v>
      </c>
      <c r="EX31" s="8">
        <v>91</v>
      </c>
      <c r="EY31" s="23">
        <f>26-21</f>
        <v>5</v>
      </c>
      <c r="EZ31" s="8">
        <v>53</v>
      </c>
      <c r="FA31" s="8">
        <v>51</v>
      </c>
      <c r="FB31" s="8">
        <v>47</v>
      </c>
      <c r="FC31" s="8">
        <v>2</v>
      </c>
      <c r="FD31" s="23">
        <f t="shared" si="9"/>
        <v>49</v>
      </c>
      <c r="FE31" s="8">
        <v>0</v>
      </c>
      <c r="FF31" s="23">
        <f>46-22</f>
        <v>24</v>
      </c>
      <c r="FG31" s="8">
        <v>32</v>
      </c>
      <c r="FH31" s="23">
        <f>41-25</f>
        <v>16</v>
      </c>
      <c r="FI31" s="8">
        <v>35</v>
      </c>
      <c r="FJ31" s="20">
        <v>0.362</v>
      </c>
      <c r="FK31" s="23">
        <f>27-29</f>
        <v>-2</v>
      </c>
      <c r="FL31" s="8">
        <v>44</v>
      </c>
      <c r="FM31" s="23">
        <f>10-4</f>
        <v>6</v>
      </c>
      <c r="FN31" s="8">
        <v>86</v>
      </c>
      <c r="FO31" s="23">
        <f>21-28</f>
        <v>-7</v>
      </c>
      <c r="FP31" s="8">
        <v>51</v>
      </c>
      <c r="FQ31" s="8">
        <v>42.324683948749744</v>
      </c>
      <c r="FR31" s="8">
        <v>55.338746437020184</v>
      </c>
      <c r="FS31" s="8">
        <v>1.4625163051101953</v>
      </c>
      <c r="FT31" s="112">
        <f t="shared" si="21"/>
        <v>40.86216764363955</v>
      </c>
      <c r="FU31" s="23">
        <v>0.8740533091198778</v>
      </c>
    </row>
    <row r="32" spans="1:177" ht="12">
      <c r="A32" s="1" t="s">
        <v>9</v>
      </c>
      <c r="B32" s="24">
        <f aca="true" t="shared" si="33" ref="B32:O32">AVERAGE(B28:B31)</f>
        <v>-9.25</v>
      </c>
      <c r="C32" s="13">
        <f t="shared" si="33"/>
        <v>26.25</v>
      </c>
      <c r="D32" s="24">
        <f t="shared" si="33"/>
        <v>18.25</v>
      </c>
      <c r="E32" s="13">
        <f t="shared" si="33"/>
        <v>24.25</v>
      </c>
      <c r="F32" s="21">
        <f t="shared" si="33"/>
        <v>0.275</v>
      </c>
      <c r="G32" s="24">
        <f t="shared" si="33"/>
        <v>23</v>
      </c>
      <c r="H32" s="13">
        <f t="shared" si="33"/>
        <v>31.5</v>
      </c>
      <c r="I32" s="24">
        <f t="shared" si="33"/>
        <v>5</v>
      </c>
      <c r="J32" s="13">
        <f t="shared" si="33"/>
        <v>88.75</v>
      </c>
      <c r="K32" s="24">
        <f t="shared" si="33"/>
        <v>7</v>
      </c>
      <c r="L32" s="13">
        <f t="shared" si="33"/>
        <v>53.5</v>
      </c>
      <c r="M32" s="13">
        <f t="shared" si="33"/>
        <v>57.75</v>
      </c>
      <c r="N32" s="13">
        <f t="shared" si="33"/>
        <v>40</v>
      </c>
      <c r="O32" s="13">
        <f t="shared" si="33"/>
        <v>2.25</v>
      </c>
      <c r="P32" s="24">
        <f t="shared" si="0"/>
        <v>55.5</v>
      </c>
      <c r="Q32" s="13">
        <f aca="true" t="shared" si="34" ref="Q32:AE32">AVERAGE(Q28:Q31)</f>
        <v>0</v>
      </c>
      <c r="R32" s="24">
        <f t="shared" si="34"/>
        <v>-9.5</v>
      </c>
      <c r="S32" s="13">
        <f t="shared" si="34"/>
        <v>26.25</v>
      </c>
      <c r="T32" s="24">
        <f t="shared" si="34"/>
        <v>17</v>
      </c>
      <c r="U32" s="13">
        <f t="shared" si="34"/>
        <v>23.5</v>
      </c>
      <c r="V32" s="21">
        <f t="shared" si="34"/>
        <v>0.35000000000000003</v>
      </c>
      <c r="W32" s="24">
        <f t="shared" si="34"/>
        <v>26.75</v>
      </c>
      <c r="X32" s="13">
        <f t="shared" si="34"/>
        <v>29.75</v>
      </c>
      <c r="Y32" s="24">
        <f t="shared" si="34"/>
        <v>7.25</v>
      </c>
      <c r="Z32" s="13">
        <f t="shared" si="34"/>
        <v>87.75</v>
      </c>
      <c r="AA32" s="24">
        <f t="shared" si="34"/>
        <v>25</v>
      </c>
      <c r="AB32" s="13">
        <f t="shared" si="34"/>
        <v>39.5</v>
      </c>
      <c r="AC32" s="13">
        <f t="shared" si="34"/>
        <v>55.5</v>
      </c>
      <c r="AD32" s="13">
        <f t="shared" si="34"/>
        <v>43.25</v>
      </c>
      <c r="AE32" s="13">
        <f t="shared" si="34"/>
        <v>0.75</v>
      </c>
      <c r="AF32" s="24">
        <f t="shared" si="1"/>
        <v>54.75</v>
      </c>
      <c r="AG32" s="13">
        <f aca="true" t="shared" si="35" ref="AG32:AU32">AVERAGE(AG28:AG31)</f>
        <v>0.5</v>
      </c>
      <c r="AH32" s="24">
        <f t="shared" si="35"/>
        <v>-18.75</v>
      </c>
      <c r="AI32" s="13">
        <f t="shared" si="35"/>
        <v>33.5</v>
      </c>
      <c r="AJ32" s="24">
        <f t="shared" si="35"/>
        <v>1.25</v>
      </c>
      <c r="AK32" s="13">
        <f t="shared" si="35"/>
        <v>32.25</v>
      </c>
      <c r="AL32" s="21">
        <f t="shared" si="35"/>
        <v>-0.49999999999999994</v>
      </c>
      <c r="AM32" s="24">
        <f t="shared" si="35"/>
        <v>15.75</v>
      </c>
      <c r="AN32" s="13">
        <f t="shared" si="35"/>
        <v>45.25</v>
      </c>
      <c r="AO32" s="24">
        <f t="shared" si="35"/>
        <v>7</v>
      </c>
      <c r="AP32" s="13">
        <f t="shared" si="35"/>
        <v>89.25</v>
      </c>
      <c r="AQ32" s="24">
        <f t="shared" si="35"/>
        <v>8.25</v>
      </c>
      <c r="AR32" s="13">
        <f t="shared" si="35"/>
        <v>59.75</v>
      </c>
      <c r="AS32" s="13">
        <f t="shared" si="35"/>
        <v>50.5</v>
      </c>
      <c r="AT32" s="13">
        <f t="shared" si="35"/>
        <v>49</v>
      </c>
      <c r="AU32" s="13">
        <f t="shared" si="35"/>
        <v>0.5</v>
      </c>
      <c r="AV32" s="24">
        <f t="shared" si="2"/>
        <v>50</v>
      </c>
      <c r="AW32" s="13">
        <f aca="true" t="shared" si="36" ref="AW32:BK32">AVERAGE(AW28:AW31)</f>
        <v>0</v>
      </c>
      <c r="AX32" s="24">
        <f t="shared" si="36"/>
        <v>-11.5</v>
      </c>
      <c r="AY32" s="13">
        <f t="shared" si="36"/>
        <v>34</v>
      </c>
      <c r="AZ32" s="24">
        <f t="shared" si="36"/>
        <v>20</v>
      </c>
      <c r="BA32" s="13">
        <f t="shared" si="36"/>
        <v>25.25</v>
      </c>
      <c r="BB32" s="21">
        <f t="shared" si="36"/>
        <v>0.7000000000000001</v>
      </c>
      <c r="BC32" s="24">
        <f t="shared" si="36"/>
        <v>32.5</v>
      </c>
      <c r="BD32" s="13">
        <f t="shared" si="36"/>
        <v>35.25</v>
      </c>
      <c r="BE32" s="24">
        <f t="shared" si="36"/>
        <v>10</v>
      </c>
      <c r="BF32" s="13">
        <f t="shared" si="36"/>
        <v>86.75</v>
      </c>
      <c r="BG32" s="24">
        <f t="shared" si="36"/>
        <v>28</v>
      </c>
      <c r="BH32" s="13">
        <f t="shared" si="36"/>
        <v>39.5</v>
      </c>
      <c r="BI32" s="13">
        <f t="shared" si="36"/>
        <v>54</v>
      </c>
      <c r="BJ32" s="13">
        <f t="shared" si="36"/>
        <v>44.25</v>
      </c>
      <c r="BK32" s="13">
        <f t="shared" si="36"/>
        <v>1</v>
      </c>
      <c r="BL32" s="24">
        <f t="shared" si="3"/>
        <v>53</v>
      </c>
      <c r="BM32" s="13">
        <f aca="true" t="shared" si="37" ref="BM32:CA32">AVERAGE(BM28:BM31)</f>
        <v>0.5</v>
      </c>
      <c r="BN32" s="24">
        <f t="shared" si="37"/>
        <v>-4.75</v>
      </c>
      <c r="BO32" s="13">
        <f t="shared" si="37"/>
        <v>33</v>
      </c>
      <c r="BP32" s="24">
        <f t="shared" si="37"/>
        <v>13</v>
      </c>
      <c r="BQ32" s="13">
        <f t="shared" si="37"/>
        <v>31</v>
      </c>
      <c r="BR32" s="21">
        <f t="shared" si="37"/>
        <v>0.14999999999999997</v>
      </c>
      <c r="BS32" s="24">
        <f t="shared" si="37"/>
        <v>24.25</v>
      </c>
      <c r="BT32" s="13">
        <f t="shared" si="37"/>
        <v>31.75</v>
      </c>
      <c r="BU32" s="24">
        <f t="shared" si="37"/>
        <v>9</v>
      </c>
      <c r="BV32" s="13">
        <f t="shared" si="37"/>
        <v>87.5</v>
      </c>
      <c r="BW32" s="24">
        <f t="shared" si="37"/>
        <v>21.75</v>
      </c>
      <c r="BX32" s="13">
        <f t="shared" si="37"/>
        <v>44.5</v>
      </c>
      <c r="BY32" s="13">
        <f t="shared" si="37"/>
        <v>49.75</v>
      </c>
      <c r="BZ32" s="13">
        <f t="shared" si="37"/>
        <v>50</v>
      </c>
      <c r="CA32" s="13">
        <f t="shared" si="37"/>
        <v>0</v>
      </c>
      <c r="CB32" s="24">
        <f t="shared" si="4"/>
        <v>49.75</v>
      </c>
      <c r="CC32" s="13">
        <f aca="true" t="shared" si="38" ref="CC32:CQ32">AVERAGE(CC28:CC31)</f>
        <v>0</v>
      </c>
      <c r="CD32" s="24">
        <f t="shared" si="38"/>
        <v>-9.25</v>
      </c>
      <c r="CE32" s="13">
        <f t="shared" si="38"/>
        <v>30</v>
      </c>
      <c r="CF32" s="24">
        <f t="shared" si="38"/>
        <v>19.75</v>
      </c>
      <c r="CG32" s="13">
        <f t="shared" si="38"/>
        <v>29.5</v>
      </c>
      <c r="CH32" s="21">
        <f t="shared" si="38"/>
        <v>0.125</v>
      </c>
      <c r="CI32" s="24">
        <f t="shared" si="38"/>
        <v>11.5</v>
      </c>
      <c r="CJ32" s="13">
        <f t="shared" si="38"/>
        <v>33.5</v>
      </c>
      <c r="CK32" s="24">
        <f t="shared" si="38"/>
        <v>5.5</v>
      </c>
      <c r="CL32" s="13">
        <f t="shared" si="38"/>
        <v>88</v>
      </c>
      <c r="CM32" s="24">
        <f t="shared" si="38"/>
        <v>18.75</v>
      </c>
      <c r="CN32" s="13">
        <f t="shared" si="38"/>
        <v>46.25</v>
      </c>
      <c r="CO32" s="13">
        <f t="shared" si="38"/>
        <v>50.25</v>
      </c>
      <c r="CP32" s="13">
        <f t="shared" si="38"/>
        <v>49</v>
      </c>
      <c r="CQ32" s="13">
        <f t="shared" si="38"/>
        <v>0.75</v>
      </c>
      <c r="CR32" s="24">
        <f t="shared" si="5"/>
        <v>49.5</v>
      </c>
      <c r="CS32" s="13">
        <f aca="true" t="shared" si="39" ref="CS32:DG32">AVERAGE(CS28:CS31)</f>
        <v>0.25</v>
      </c>
      <c r="CT32" s="24">
        <f t="shared" si="39"/>
        <v>-6.5</v>
      </c>
      <c r="CU32" s="13">
        <f t="shared" si="39"/>
        <v>31.25</v>
      </c>
      <c r="CV32" s="24">
        <f t="shared" si="39"/>
        <v>15.75</v>
      </c>
      <c r="CW32" s="13">
        <f t="shared" si="39"/>
        <v>28</v>
      </c>
      <c r="CX32" s="21">
        <f t="shared" si="39"/>
        <v>0.39999999999999997</v>
      </c>
      <c r="CY32" s="24">
        <f t="shared" si="39"/>
        <v>36.25</v>
      </c>
      <c r="CZ32" s="13">
        <f t="shared" si="39"/>
        <v>34.75</v>
      </c>
      <c r="DA32" s="24">
        <f t="shared" si="39"/>
        <v>10.5</v>
      </c>
      <c r="DB32" s="13">
        <f t="shared" si="39"/>
        <v>86</v>
      </c>
      <c r="DC32" s="24">
        <f t="shared" si="39"/>
        <v>19.75</v>
      </c>
      <c r="DD32" s="13">
        <f t="shared" si="39"/>
        <v>51.25</v>
      </c>
      <c r="DE32" s="13">
        <f t="shared" si="39"/>
        <v>51</v>
      </c>
      <c r="DF32" s="13">
        <f t="shared" si="39"/>
        <v>46.25</v>
      </c>
      <c r="DG32" s="13">
        <f t="shared" si="39"/>
        <v>2</v>
      </c>
      <c r="DH32" s="24">
        <f t="shared" si="6"/>
        <v>49</v>
      </c>
      <c r="DI32" s="13">
        <f aca="true" t="shared" si="40" ref="DI32:DW32">AVERAGE(DI28:DI31)</f>
        <v>0.5</v>
      </c>
      <c r="DJ32" s="24">
        <f t="shared" si="40"/>
        <v>-4.25</v>
      </c>
      <c r="DK32" s="13">
        <f t="shared" si="40"/>
        <v>34.75</v>
      </c>
      <c r="DL32" s="24">
        <f t="shared" si="40"/>
        <v>29.5</v>
      </c>
      <c r="DM32" s="13">
        <f t="shared" si="40"/>
        <v>31.5</v>
      </c>
      <c r="DN32" s="21">
        <f t="shared" si="40"/>
        <v>1</v>
      </c>
      <c r="DO32" s="24">
        <f t="shared" si="40"/>
        <v>37.5</v>
      </c>
      <c r="DP32" s="13">
        <f t="shared" si="40"/>
        <v>37.5</v>
      </c>
      <c r="DQ32" s="24">
        <f t="shared" si="40"/>
        <v>5.75</v>
      </c>
      <c r="DR32" s="13">
        <f t="shared" si="40"/>
        <v>91.25</v>
      </c>
      <c r="DS32" s="24">
        <f t="shared" si="40"/>
        <v>27</v>
      </c>
      <c r="DT32" s="13">
        <f t="shared" si="40"/>
        <v>45.75</v>
      </c>
      <c r="DU32" s="13">
        <f t="shared" si="40"/>
        <v>54</v>
      </c>
      <c r="DV32" s="13">
        <f t="shared" si="40"/>
        <v>45</v>
      </c>
      <c r="DW32" s="13">
        <f t="shared" si="40"/>
        <v>1</v>
      </c>
      <c r="DX32" s="24">
        <f t="shared" si="7"/>
        <v>53</v>
      </c>
      <c r="DY32" s="13">
        <f aca="true" t="shared" si="41" ref="DY32:EM32">AVERAGE(DY28:DY31)</f>
        <v>0</v>
      </c>
      <c r="DZ32" s="24">
        <f t="shared" si="41"/>
        <v>-5.25</v>
      </c>
      <c r="EA32" s="13">
        <f t="shared" si="41"/>
        <v>37</v>
      </c>
      <c r="EB32" s="24">
        <f t="shared" si="41"/>
        <v>-6.75</v>
      </c>
      <c r="EC32" s="13">
        <f t="shared" si="41"/>
        <v>36.75</v>
      </c>
      <c r="ED32" s="21">
        <f t="shared" si="41"/>
        <v>-1.125</v>
      </c>
      <c r="EE32" s="24">
        <f t="shared" si="41"/>
        <v>6</v>
      </c>
      <c r="EF32" s="13">
        <f t="shared" si="41"/>
        <v>39.25</v>
      </c>
      <c r="EG32" s="24">
        <f t="shared" si="41"/>
        <v>12</v>
      </c>
      <c r="EH32" s="13">
        <f t="shared" si="41"/>
        <v>82.5</v>
      </c>
      <c r="EI32" s="24">
        <f t="shared" si="41"/>
        <v>5.75</v>
      </c>
      <c r="EJ32" s="13">
        <f t="shared" si="41"/>
        <v>51.5</v>
      </c>
      <c r="EK32" s="13">
        <f t="shared" si="41"/>
        <v>41.75</v>
      </c>
      <c r="EL32" s="13">
        <f t="shared" si="41"/>
        <v>55.25</v>
      </c>
      <c r="EM32" s="13">
        <f t="shared" si="41"/>
        <v>2.25</v>
      </c>
      <c r="EN32" s="24">
        <f t="shared" si="8"/>
        <v>39.5</v>
      </c>
      <c r="EO32" s="13">
        <f aca="true" t="shared" si="42" ref="EO32:FC32">AVERAGE(EO28:EO31)</f>
        <v>0.25</v>
      </c>
      <c r="EP32" s="24">
        <f t="shared" si="42"/>
        <v>-8.75</v>
      </c>
      <c r="EQ32" s="13">
        <f t="shared" si="42"/>
        <v>31</v>
      </c>
      <c r="ER32" s="24">
        <f t="shared" si="42"/>
        <v>15.25</v>
      </c>
      <c r="ES32" s="13">
        <f t="shared" si="42"/>
        <v>28</v>
      </c>
      <c r="ET32" s="21">
        <f t="shared" si="42"/>
        <v>0.22499999999999998</v>
      </c>
      <c r="EU32" s="24">
        <f t="shared" si="42"/>
        <v>24.75</v>
      </c>
      <c r="EV32" s="13">
        <f t="shared" si="42"/>
        <v>34.75</v>
      </c>
      <c r="EW32" s="24">
        <f t="shared" si="42"/>
        <v>8</v>
      </c>
      <c r="EX32" s="13">
        <f t="shared" si="42"/>
        <v>87.75</v>
      </c>
      <c r="EY32" s="24">
        <f t="shared" si="42"/>
        <v>17.25</v>
      </c>
      <c r="EZ32" s="13">
        <f t="shared" si="42"/>
        <v>48.25</v>
      </c>
      <c r="FA32" s="13">
        <f t="shared" si="42"/>
        <v>53</v>
      </c>
      <c r="FB32" s="13">
        <f t="shared" si="42"/>
        <v>45.75</v>
      </c>
      <c r="FC32" s="13">
        <f t="shared" si="42"/>
        <v>1.5</v>
      </c>
      <c r="FD32" s="24">
        <f t="shared" si="9"/>
        <v>51.5</v>
      </c>
      <c r="FE32" s="13">
        <f>AVERAGE(FE28:FE31)</f>
        <v>0.25</v>
      </c>
      <c r="FF32" s="24">
        <f aca="true" t="shared" si="43" ref="FF32:FP32">AVERAGE(FF28:FF31)</f>
        <v>-8.75</v>
      </c>
      <c r="FG32" s="13">
        <f t="shared" si="43"/>
        <v>34</v>
      </c>
      <c r="FH32" s="24">
        <f t="shared" si="43"/>
        <v>2.75</v>
      </c>
      <c r="FI32" s="13">
        <f t="shared" si="43"/>
        <v>33</v>
      </c>
      <c r="FJ32" s="21">
        <f t="shared" si="43"/>
        <v>-0.7092499999999999</v>
      </c>
      <c r="FK32" s="24">
        <f t="shared" si="43"/>
        <v>12.75</v>
      </c>
      <c r="FL32" s="13">
        <f t="shared" si="43"/>
        <v>36.75</v>
      </c>
      <c r="FM32" s="24">
        <f t="shared" si="43"/>
        <v>7.5</v>
      </c>
      <c r="FN32" s="13">
        <f t="shared" si="43"/>
        <v>84.75</v>
      </c>
      <c r="FO32" s="24">
        <f t="shared" si="43"/>
        <v>9.5</v>
      </c>
      <c r="FP32" s="13">
        <f t="shared" si="43"/>
        <v>45.25</v>
      </c>
      <c r="FQ32" s="13">
        <f>AVERAGE(FQ28:FQ31)</f>
        <v>44.85584680381717</v>
      </c>
      <c r="FR32" s="13">
        <f>AVERAGE(FR28:FR31)</f>
        <v>53.49499746808519</v>
      </c>
      <c r="FS32" s="13">
        <f>AVERAGE(FS28:FS31)</f>
        <v>1.1713181091711666</v>
      </c>
      <c r="FT32" s="112">
        <f t="shared" si="21"/>
        <v>43.684528694646005</v>
      </c>
      <c r="FU32" s="13">
        <f>AVERAGE(FU28:FU31)</f>
        <v>0.4778376189264767</v>
      </c>
    </row>
    <row r="33" spans="1:177" ht="12">
      <c r="A33" s="1" t="s">
        <v>46</v>
      </c>
      <c r="B33" s="23">
        <f>41-35</f>
        <v>6</v>
      </c>
      <c r="C33" s="8">
        <v>25</v>
      </c>
      <c r="D33" s="23">
        <f>56-18</f>
        <v>38</v>
      </c>
      <c r="E33" s="8">
        <v>26</v>
      </c>
      <c r="F33" s="20">
        <v>2.8</v>
      </c>
      <c r="G33" s="23">
        <f>53-11</f>
        <v>42</v>
      </c>
      <c r="H33" s="8">
        <v>35</v>
      </c>
      <c r="I33" s="23">
        <f>8-1</f>
        <v>7</v>
      </c>
      <c r="J33" s="8">
        <v>91</v>
      </c>
      <c r="K33" s="23">
        <f>33-9</f>
        <v>24</v>
      </c>
      <c r="L33" s="8">
        <v>58</v>
      </c>
      <c r="M33" s="8">
        <v>54</v>
      </c>
      <c r="N33" s="8">
        <v>43</v>
      </c>
      <c r="O33" s="8">
        <v>1</v>
      </c>
      <c r="P33" s="23">
        <f t="shared" si="0"/>
        <v>53</v>
      </c>
      <c r="Q33" s="8">
        <v>1</v>
      </c>
      <c r="R33" s="23">
        <f>17-56</f>
        <v>-39</v>
      </c>
      <c r="S33" s="8">
        <v>27</v>
      </c>
      <c r="T33" s="23">
        <f>55-19</f>
        <v>36</v>
      </c>
      <c r="U33" s="8">
        <v>26</v>
      </c>
      <c r="V33" s="20">
        <v>2.6</v>
      </c>
      <c r="W33" s="23">
        <f>52-15</f>
        <v>37</v>
      </c>
      <c r="X33" s="8">
        <v>33</v>
      </c>
      <c r="Y33" s="23">
        <f>9-1</f>
        <v>8</v>
      </c>
      <c r="Z33" s="8">
        <v>90</v>
      </c>
      <c r="AA33" s="23">
        <f>48-13</f>
        <v>35</v>
      </c>
      <c r="AB33" s="8">
        <v>38</v>
      </c>
      <c r="AC33" s="8">
        <v>56</v>
      </c>
      <c r="AD33" s="8">
        <v>42</v>
      </c>
      <c r="AE33" s="8">
        <v>1</v>
      </c>
      <c r="AF33" s="23">
        <f t="shared" si="1"/>
        <v>55</v>
      </c>
      <c r="AG33" s="8">
        <v>0</v>
      </c>
      <c r="AH33" s="23">
        <f>29-36</f>
        <v>-7</v>
      </c>
      <c r="AI33" s="8">
        <v>35</v>
      </c>
      <c r="AJ33" s="23">
        <f>44-22</f>
        <v>22</v>
      </c>
      <c r="AK33" s="8">
        <v>34</v>
      </c>
      <c r="AL33" s="20">
        <v>1</v>
      </c>
      <c r="AM33" s="23">
        <f>47-18</f>
        <v>29</v>
      </c>
      <c r="AN33" s="8">
        <v>36</v>
      </c>
      <c r="AO33" s="23">
        <f>8-1</f>
        <v>7</v>
      </c>
      <c r="AP33" s="8">
        <v>91</v>
      </c>
      <c r="AQ33" s="23">
        <f>28-10</f>
        <v>18</v>
      </c>
      <c r="AR33" s="8">
        <v>62</v>
      </c>
      <c r="AS33" s="8">
        <v>42</v>
      </c>
      <c r="AT33" s="8">
        <v>55</v>
      </c>
      <c r="AU33" s="8">
        <v>2</v>
      </c>
      <c r="AV33" s="23">
        <f t="shared" si="2"/>
        <v>40</v>
      </c>
      <c r="AW33" s="8">
        <v>0</v>
      </c>
      <c r="AX33" s="23">
        <f>13-61</f>
        <v>-48</v>
      </c>
      <c r="AY33" s="8">
        <v>26</v>
      </c>
      <c r="AZ33" s="23">
        <f>48-20</f>
        <v>28</v>
      </c>
      <c r="BA33" s="8">
        <v>32</v>
      </c>
      <c r="BB33" s="20">
        <v>2.2</v>
      </c>
      <c r="BC33" s="23">
        <f>55-13</f>
        <v>42</v>
      </c>
      <c r="BD33" s="8">
        <v>32</v>
      </c>
      <c r="BE33" s="23">
        <f>12-1</f>
        <v>11</v>
      </c>
      <c r="BF33" s="8">
        <v>86</v>
      </c>
      <c r="BG33" s="23">
        <f>51-13</f>
        <v>38</v>
      </c>
      <c r="BH33" s="8">
        <v>36</v>
      </c>
      <c r="BI33" s="8">
        <v>53</v>
      </c>
      <c r="BJ33" s="8">
        <v>45</v>
      </c>
      <c r="BK33" s="8">
        <v>2</v>
      </c>
      <c r="BL33" s="23">
        <f t="shared" si="3"/>
        <v>51</v>
      </c>
      <c r="BM33" s="8">
        <v>0</v>
      </c>
      <c r="BN33" s="23">
        <f>27-36</f>
        <v>-9</v>
      </c>
      <c r="BO33" s="8">
        <v>37</v>
      </c>
      <c r="BP33" s="23">
        <f>41-25</f>
        <v>16</v>
      </c>
      <c r="BQ33" s="8">
        <v>34</v>
      </c>
      <c r="BR33" s="20">
        <v>1.2</v>
      </c>
      <c r="BS33" s="23">
        <f>41-15</f>
        <v>26</v>
      </c>
      <c r="BT33" s="8">
        <v>44</v>
      </c>
      <c r="BU33" s="23">
        <f>8-0</f>
        <v>8</v>
      </c>
      <c r="BV33" s="8">
        <v>92</v>
      </c>
      <c r="BW33" s="23">
        <f>37-12</f>
        <v>25</v>
      </c>
      <c r="BX33" s="8">
        <v>51</v>
      </c>
      <c r="BY33" s="8">
        <v>51</v>
      </c>
      <c r="BZ33" s="8">
        <v>48</v>
      </c>
      <c r="CA33" s="8">
        <v>1</v>
      </c>
      <c r="CB33" s="23">
        <f t="shared" si="4"/>
        <v>50</v>
      </c>
      <c r="CC33" s="8">
        <v>0</v>
      </c>
      <c r="CD33" s="23">
        <f>28-49</f>
        <v>-21</v>
      </c>
      <c r="CE33" s="8">
        <v>23</v>
      </c>
      <c r="CF33" s="23">
        <f>47-25</f>
        <v>22</v>
      </c>
      <c r="CG33" s="8">
        <v>29</v>
      </c>
      <c r="CH33" s="20">
        <v>1</v>
      </c>
      <c r="CI33" s="23">
        <f>50-12</f>
        <v>38</v>
      </c>
      <c r="CJ33" s="8">
        <v>38</v>
      </c>
      <c r="CK33" s="23">
        <f>5-6</f>
        <v>-1</v>
      </c>
      <c r="CL33" s="8">
        <v>89</v>
      </c>
      <c r="CM33" s="23">
        <f>39-7</f>
        <v>32</v>
      </c>
      <c r="CN33" s="8">
        <v>54</v>
      </c>
      <c r="CO33" s="8">
        <v>46</v>
      </c>
      <c r="CP33" s="8">
        <v>50</v>
      </c>
      <c r="CQ33" s="8">
        <v>3</v>
      </c>
      <c r="CR33" s="23">
        <f t="shared" si="5"/>
        <v>43</v>
      </c>
      <c r="CS33" s="8">
        <v>0</v>
      </c>
      <c r="CT33" s="23">
        <f>26-47</f>
        <v>-21</v>
      </c>
      <c r="CU33" s="8">
        <v>27</v>
      </c>
      <c r="CV33" s="23">
        <f>52-20</f>
        <v>32</v>
      </c>
      <c r="CW33" s="8">
        <v>28</v>
      </c>
      <c r="CX33" s="20">
        <v>1.7</v>
      </c>
      <c r="CY33" s="23">
        <f>52-11</f>
        <v>41</v>
      </c>
      <c r="CZ33" s="8">
        <v>37</v>
      </c>
      <c r="DA33" s="23">
        <f>11-1</f>
        <v>10</v>
      </c>
      <c r="DB33" s="8">
        <v>88</v>
      </c>
      <c r="DC33" s="23">
        <f>31-11</f>
        <v>20</v>
      </c>
      <c r="DD33" s="8">
        <v>58</v>
      </c>
      <c r="DE33" s="8">
        <v>43</v>
      </c>
      <c r="DF33" s="8">
        <v>55</v>
      </c>
      <c r="DG33" s="8">
        <v>2</v>
      </c>
      <c r="DH33" s="23">
        <f t="shared" si="6"/>
        <v>41</v>
      </c>
      <c r="DI33" s="8">
        <v>0</v>
      </c>
      <c r="DJ33" s="23">
        <f>30-32</f>
        <v>-2</v>
      </c>
      <c r="DK33" s="8">
        <v>38</v>
      </c>
      <c r="DL33" s="23">
        <f>38-20</f>
        <v>18</v>
      </c>
      <c r="DM33" s="8">
        <v>41</v>
      </c>
      <c r="DN33" s="20">
        <v>1.4</v>
      </c>
      <c r="DO33" s="23">
        <f>55-5</f>
        <v>50</v>
      </c>
      <c r="DP33" s="8">
        <v>40</v>
      </c>
      <c r="DQ33" s="23">
        <f>7-1</f>
        <v>6</v>
      </c>
      <c r="DR33" s="8">
        <v>92</v>
      </c>
      <c r="DS33" s="23">
        <f>42-9</f>
        <v>33</v>
      </c>
      <c r="DT33" s="8">
        <v>49</v>
      </c>
      <c r="DU33" s="8">
        <v>49</v>
      </c>
      <c r="DV33" s="8">
        <v>50</v>
      </c>
      <c r="DW33" s="8">
        <v>1</v>
      </c>
      <c r="DX33" s="23">
        <f t="shared" si="7"/>
        <v>48</v>
      </c>
      <c r="DY33" s="8">
        <v>0</v>
      </c>
      <c r="DZ33" s="23">
        <f>20-48</f>
        <v>-28</v>
      </c>
      <c r="EA33" s="8">
        <v>32</v>
      </c>
      <c r="EB33" s="23">
        <f>31-28</f>
        <v>3</v>
      </c>
      <c r="EC33" s="8">
        <v>41</v>
      </c>
      <c r="ED33" s="20">
        <v>-0.4</v>
      </c>
      <c r="EE33" s="23">
        <f>38-16</f>
        <v>22</v>
      </c>
      <c r="EF33" s="8">
        <v>46</v>
      </c>
      <c r="EG33" s="23">
        <f>14-0</f>
        <v>14</v>
      </c>
      <c r="EH33" s="8">
        <v>86</v>
      </c>
      <c r="EI33" s="23">
        <f>33-12</f>
        <v>21</v>
      </c>
      <c r="EJ33" s="8">
        <v>56</v>
      </c>
      <c r="EK33" s="8">
        <v>40</v>
      </c>
      <c r="EL33" s="8">
        <v>57</v>
      </c>
      <c r="EM33" s="8">
        <v>2</v>
      </c>
      <c r="EN33" s="23">
        <f t="shared" si="8"/>
        <v>38</v>
      </c>
      <c r="EO33" s="8">
        <v>0</v>
      </c>
      <c r="EP33" s="23">
        <f>27-44</f>
        <v>-17</v>
      </c>
      <c r="EQ33" s="8">
        <v>29</v>
      </c>
      <c r="ER33" s="23">
        <f>47-21</f>
        <v>26</v>
      </c>
      <c r="ES33" s="8">
        <v>32</v>
      </c>
      <c r="ET33" s="20">
        <v>1.7</v>
      </c>
      <c r="EU33" s="23">
        <f>50-13</f>
        <v>37</v>
      </c>
      <c r="EV33" s="8">
        <v>37</v>
      </c>
      <c r="EW33" s="23">
        <f>9-1</f>
        <v>8</v>
      </c>
      <c r="EX33" s="8">
        <v>90</v>
      </c>
      <c r="EY33" s="23">
        <f>38-11</f>
        <v>27</v>
      </c>
      <c r="EZ33" s="8">
        <v>51</v>
      </c>
      <c r="FA33" s="8">
        <v>50</v>
      </c>
      <c r="FB33" s="8">
        <v>48</v>
      </c>
      <c r="FC33" s="8">
        <v>2</v>
      </c>
      <c r="FD33" s="23">
        <f t="shared" si="9"/>
        <v>48</v>
      </c>
      <c r="FE33" s="8">
        <v>0</v>
      </c>
      <c r="FF33" s="23">
        <f>23-43</f>
        <v>-20</v>
      </c>
      <c r="FG33" s="8">
        <v>34</v>
      </c>
      <c r="FH33" s="23">
        <f>39-28</f>
        <v>11</v>
      </c>
      <c r="FI33" s="8">
        <v>33</v>
      </c>
      <c r="FJ33" s="20">
        <v>0.278</v>
      </c>
      <c r="FK33" s="23">
        <f>46-17</f>
        <v>29</v>
      </c>
      <c r="FL33" s="8">
        <v>37</v>
      </c>
      <c r="FM33" s="23">
        <f>12-4</f>
        <v>8</v>
      </c>
      <c r="FN33" s="8">
        <v>84</v>
      </c>
      <c r="FO33" s="23">
        <f>35-13</f>
        <v>22</v>
      </c>
      <c r="FP33" s="8">
        <v>52</v>
      </c>
      <c r="FQ33" s="8">
        <v>44.637145341313975</v>
      </c>
      <c r="FR33" s="8">
        <v>53.11049018213825</v>
      </c>
      <c r="FS33" s="8">
        <v>1.9257106220757474</v>
      </c>
      <c r="FT33" s="112">
        <f t="shared" si="21"/>
        <v>42.71143471923823</v>
      </c>
      <c r="FU33" s="23">
        <v>0.3266538544720289</v>
      </c>
    </row>
    <row r="34" spans="1:177" ht="12">
      <c r="A34" s="1" t="s">
        <v>36</v>
      </c>
      <c r="B34" s="23">
        <f>50-18</f>
        <v>32</v>
      </c>
      <c r="C34" s="8">
        <v>33</v>
      </c>
      <c r="D34" s="23">
        <f>50-21</f>
        <v>29</v>
      </c>
      <c r="E34" s="8">
        <v>28</v>
      </c>
      <c r="F34" s="20">
        <v>2</v>
      </c>
      <c r="G34" s="23">
        <f>43-35</f>
        <v>8</v>
      </c>
      <c r="H34" s="8">
        <v>21</v>
      </c>
      <c r="I34" s="23">
        <f>9-3</f>
        <v>6</v>
      </c>
      <c r="J34" s="8">
        <v>87</v>
      </c>
      <c r="K34" s="23">
        <f>24-31</f>
        <v>-7</v>
      </c>
      <c r="L34" s="8">
        <v>45</v>
      </c>
      <c r="M34" s="8">
        <v>52</v>
      </c>
      <c r="N34" s="8">
        <v>48</v>
      </c>
      <c r="O34" s="8">
        <v>1</v>
      </c>
      <c r="P34" s="23">
        <f t="shared" si="0"/>
        <v>51</v>
      </c>
      <c r="Q34" s="8">
        <v>0</v>
      </c>
      <c r="R34" s="23">
        <f>37-36</f>
        <v>1</v>
      </c>
      <c r="S34" s="8">
        <v>27</v>
      </c>
      <c r="T34" s="23">
        <f>62-16</f>
        <v>46</v>
      </c>
      <c r="U34" s="8">
        <v>21</v>
      </c>
      <c r="V34" s="20">
        <v>2.9</v>
      </c>
      <c r="W34" s="23">
        <f>45-27</f>
        <v>18</v>
      </c>
      <c r="X34" s="8">
        <v>28</v>
      </c>
      <c r="Y34" s="23">
        <f>13-3</f>
        <v>10</v>
      </c>
      <c r="Z34" s="8">
        <v>85</v>
      </c>
      <c r="AA34" s="23">
        <f>44-23</f>
        <v>21</v>
      </c>
      <c r="AB34" s="8">
        <v>33</v>
      </c>
      <c r="AC34" s="8">
        <v>56</v>
      </c>
      <c r="AD34" s="8">
        <v>42</v>
      </c>
      <c r="AE34" s="8">
        <v>1</v>
      </c>
      <c r="AF34" s="23">
        <f t="shared" si="1"/>
        <v>55</v>
      </c>
      <c r="AG34" s="8">
        <v>1</v>
      </c>
      <c r="AH34" s="23">
        <f>46-16</f>
        <v>30</v>
      </c>
      <c r="AI34" s="8">
        <v>38</v>
      </c>
      <c r="AJ34" s="23">
        <f>46-24</f>
        <v>22</v>
      </c>
      <c r="AK34" s="8">
        <v>30</v>
      </c>
      <c r="AL34" s="20">
        <v>1.2</v>
      </c>
      <c r="AM34" s="23">
        <f>36-26</f>
        <v>10</v>
      </c>
      <c r="AN34" s="8">
        <v>38</v>
      </c>
      <c r="AO34" s="23">
        <f>9-3</f>
        <v>6</v>
      </c>
      <c r="AP34" s="8">
        <v>88</v>
      </c>
      <c r="AQ34" s="23">
        <f>24-16</f>
        <v>8</v>
      </c>
      <c r="AR34" s="8">
        <v>61</v>
      </c>
      <c r="AS34" s="8">
        <v>50</v>
      </c>
      <c r="AT34" s="8">
        <v>50</v>
      </c>
      <c r="AU34" s="8">
        <v>0</v>
      </c>
      <c r="AV34" s="23">
        <f t="shared" si="2"/>
        <v>50</v>
      </c>
      <c r="AW34" s="8">
        <v>0</v>
      </c>
      <c r="AX34" s="23">
        <f>31-41</f>
        <v>-10</v>
      </c>
      <c r="AY34" s="8">
        <v>28</v>
      </c>
      <c r="AZ34" s="23">
        <f>60-15</f>
        <v>45</v>
      </c>
      <c r="BA34" s="8">
        <v>25</v>
      </c>
      <c r="BB34" s="20">
        <v>3.4</v>
      </c>
      <c r="BC34" s="23">
        <f>52-23</f>
        <v>29</v>
      </c>
      <c r="BD34" s="8">
        <v>24</v>
      </c>
      <c r="BE34" s="23">
        <f>7-5</f>
        <v>2</v>
      </c>
      <c r="BF34" s="8">
        <v>89</v>
      </c>
      <c r="BG34" s="23">
        <f>46-22</f>
        <v>24</v>
      </c>
      <c r="BH34" s="8">
        <v>32</v>
      </c>
      <c r="BI34" s="8">
        <v>60</v>
      </c>
      <c r="BJ34" s="8">
        <v>36</v>
      </c>
      <c r="BK34" s="8">
        <v>2</v>
      </c>
      <c r="BL34" s="23">
        <f t="shared" si="3"/>
        <v>58</v>
      </c>
      <c r="BM34" s="8">
        <v>2</v>
      </c>
      <c r="BN34" s="23">
        <f>51-17</f>
        <v>34</v>
      </c>
      <c r="BO34" s="8">
        <v>32</v>
      </c>
      <c r="BP34" s="23">
        <f>51-18</f>
        <v>33</v>
      </c>
      <c r="BQ34" s="8">
        <v>31</v>
      </c>
      <c r="BR34" s="20">
        <v>2</v>
      </c>
      <c r="BS34" s="23">
        <f>49-27</f>
        <v>22</v>
      </c>
      <c r="BT34" s="8">
        <v>25</v>
      </c>
      <c r="BU34" s="23">
        <f>12-3</f>
        <v>9</v>
      </c>
      <c r="BV34" s="8">
        <v>85</v>
      </c>
      <c r="BW34" s="23">
        <f>44-20</f>
        <v>24</v>
      </c>
      <c r="BX34" s="8">
        <v>37</v>
      </c>
      <c r="BY34" s="8">
        <v>55</v>
      </c>
      <c r="BZ34" s="8">
        <v>45</v>
      </c>
      <c r="CA34" s="8">
        <v>0</v>
      </c>
      <c r="CB34" s="23">
        <f t="shared" si="4"/>
        <v>55</v>
      </c>
      <c r="CC34" s="8">
        <v>0</v>
      </c>
      <c r="CD34" s="23">
        <f>50-13</f>
        <v>37</v>
      </c>
      <c r="CE34" s="8">
        <v>38</v>
      </c>
      <c r="CF34" s="23">
        <f>48-19</f>
        <v>29</v>
      </c>
      <c r="CG34" s="8">
        <v>33</v>
      </c>
      <c r="CH34" s="20">
        <v>1.5</v>
      </c>
      <c r="CI34" s="23">
        <f>45-24</f>
        <v>21</v>
      </c>
      <c r="CJ34" s="8">
        <v>31</v>
      </c>
      <c r="CK34" s="23">
        <f>8-11</f>
        <v>-3</v>
      </c>
      <c r="CL34" s="8">
        <v>81</v>
      </c>
      <c r="CM34" s="23">
        <f>42-16</f>
        <v>26</v>
      </c>
      <c r="CN34" s="8">
        <v>41</v>
      </c>
      <c r="CO34" s="8">
        <v>61</v>
      </c>
      <c r="CP34" s="8">
        <v>37</v>
      </c>
      <c r="CQ34" s="8">
        <v>2</v>
      </c>
      <c r="CR34" s="23">
        <f t="shared" si="5"/>
        <v>59</v>
      </c>
      <c r="CS34" s="8">
        <v>1</v>
      </c>
      <c r="CT34" s="23">
        <f>47-24</f>
        <v>23</v>
      </c>
      <c r="CU34" s="8">
        <v>29</v>
      </c>
      <c r="CV34" s="23">
        <f>57-20</f>
        <v>37</v>
      </c>
      <c r="CW34" s="8">
        <v>23</v>
      </c>
      <c r="CX34" s="20">
        <v>2</v>
      </c>
      <c r="CY34" s="23">
        <f>41-33</f>
        <v>8</v>
      </c>
      <c r="CZ34" s="8">
        <v>26</v>
      </c>
      <c r="DA34" s="23">
        <f>12-5</f>
        <v>7</v>
      </c>
      <c r="DB34" s="8">
        <v>83</v>
      </c>
      <c r="DC34" s="23">
        <f>22-32</f>
        <v>-10</v>
      </c>
      <c r="DD34" s="8">
        <v>46</v>
      </c>
      <c r="DE34" s="8">
        <v>57</v>
      </c>
      <c r="DF34" s="8">
        <v>42</v>
      </c>
      <c r="DG34" s="8">
        <v>1</v>
      </c>
      <c r="DH34" s="23">
        <f t="shared" si="6"/>
        <v>56</v>
      </c>
      <c r="DI34" s="8">
        <v>1</v>
      </c>
      <c r="DJ34" s="23">
        <f>50-15</f>
        <v>35</v>
      </c>
      <c r="DK34" s="8">
        <v>35</v>
      </c>
      <c r="DL34" s="23">
        <f>53-13</f>
        <v>40</v>
      </c>
      <c r="DM34" s="8">
        <v>34</v>
      </c>
      <c r="DN34" s="20">
        <v>2.4</v>
      </c>
      <c r="DO34" s="23">
        <f>43-19</f>
        <v>24</v>
      </c>
      <c r="DP34" s="8">
        <v>38</v>
      </c>
      <c r="DQ34" s="23">
        <f>16-6</f>
        <v>10</v>
      </c>
      <c r="DR34" s="8">
        <v>78</v>
      </c>
      <c r="DS34" s="23">
        <f>37-16</f>
        <v>21</v>
      </c>
      <c r="DT34" s="8">
        <v>47</v>
      </c>
      <c r="DU34" s="8">
        <v>43</v>
      </c>
      <c r="DV34" s="8">
        <v>56</v>
      </c>
      <c r="DW34" s="8">
        <v>1</v>
      </c>
      <c r="DX34" s="23">
        <f t="shared" si="7"/>
        <v>42</v>
      </c>
      <c r="DY34" s="8">
        <v>0</v>
      </c>
      <c r="DZ34" s="23">
        <f>36-28</f>
        <v>8</v>
      </c>
      <c r="EA34" s="8">
        <v>36</v>
      </c>
      <c r="EB34" s="23">
        <f>33-31</f>
        <v>2</v>
      </c>
      <c r="EC34" s="8">
        <v>36</v>
      </c>
      <c r="ED34" s="20">
        <v>-0.4</v>
      </c>
      <c r="EE34" s="23">
        <f>32-33</f>
        <v>-1</v>
      </c>
      <c r="EF34" s="8">
        <v>35</v>
      </c>
      <c r="EG34" s="23">
        <f>16-4</f>
        <v>12</v>
      </c>
      <c r="EH34" s="8">
        <v>79</v>
      </c>
      <c r="EI34" s="23">
        <f>29-27</f>
        <v>2</v>
      </c>
      <c r="EJ34" s="8">
        <v>44</v>
      </c>
      <c r="EK34" s="8">
        <v>36</v>
      </c>
      <c r="EL34" s="8">
        <v>62</v>
      </c>
      <c r="EM34" s="8">
        <v>1</v>
      </c>
      <c r="EN34" s="23">
        <f t="shared" si="8"/>
        <v>35</v>
      </c>
      <c r="EO34" s="8">
        <v>1</v>
      </c>
      <c r="EP34" s="23">
        <f>44-23</f>
        <v>21</v>
      </c>
      <c r="EQ34" s="8">
        <v>32</v>
      </c>
      <c r="ER34" s="23">
        <f>52-19</f>
        <v>33</v>
      </c>
      <c r="ES34" s="8">
        <v>29</v>
      </c>
      <c r="ET34" s="20">
        <v>2</v>
      </c>
      <c r="EU34" s="23">
        <f>44-28</f>
        <v>16</v>
      </c>
      <c r="EV34" s="8">
        <v>28</v>
      </c>
      <c r="EW34" s="23">
        <f>11-4</f>
        <v>7</v>
      </c>
      <c r="EX34" s="8">
        <v>85</v>
      </c>
      <c r="EY34" s="23">
        <f>34-24</f>
        <v>10</v>
      </c>
      <c r="EZ34" s="8">
        <v>42</v>
      </c>
      <c r="FA34" s="8">
        <v>52</v>
      </c>
      <c r="FB34" s="8">
        <v>46</v>
      </c>
      <c r="FC34" s="8">
        <v>1</v>
      </c>
      <c r="FD34" s="23">
        <f t="shared" si="9"/>
        <v>51</v>
      </c>
      <c r="FE34" s="8">
        <v>1</v>
      </c>
      <c r="FF34" s="23">
        <f>41-23</f>
        <v>18</v>
      </c>
      <c r="FG34" s="8">
        <v>37</v>
      </c>
      <c r="FH34" s="23">
        <f>40-26</f>
        <v>14</v>
      </c>
      <c r="FI34" s="8">
        <v>33</v>
      </c>
      <c r="FJ34" s="20">
        <v>0.148</v>
      </c>
      <c r="FK34" s="23">
        <f>39-27</f>
        <v>12</v>
      </c>
      <c r="FL34" s="8">
        <v>33</v>
      </c>
      <c r="FM34" s="23">
        <f>15-4</f>
        <v>11</v>
      </c>
      <c r="FN34" s="8">
        <v>81</v>
      </c>
      <c r="FO34" s="23">
        <f>32-24</f>
        <v>8</v>
      </c>
      <c r="FP34" s="8">
        <v>44</v>
      </c>
      <c r="FQ34" s="8">
        <v>41.94829084623097</v>
      </c>
      <c r="FR34" s="8">
        <v>54.84603822283006</v>
      </c>
      <c r="FS34" s="8">
        <v>2.924106839877642</v>
      </c>
      <c r="FT34" s="112">
        <f t="shared" si="21"/>
        <v>39.02418400635332</v>
      </c>
      <c r="FU34" s="23">
        <v>0.28156409106132285</v>
      </c>
    </row>
    <row r="35" spans="1:177" ht="12">
      <c r="A35" s="1" t="s">
        <v>32</v>
      </c>
      <c r="B35" s="23">
        <f>48-21</f>
        <v>27</v>
      </c>
      <c r="C35" s="8">
        <v>31</v>
      </c>
      <c r="D35" s="23">
        <f>48-28</f>
        <v>20</v>
      </c>
      <c r="E35" s="8">
        <v>24</v>
      </c>
      <c r="F35" s="20">
        <v>1.8</v>
      </c>
      <c r="G35" s="23">
        <f>68-10</f>
        <v>58</v>
      </c>
      <c r="H35" s="8">
        <v>22</v>
      </c>
      <c r="I35" s="23">
        <f>5-1</f>
        <v>4</v>
      </c>
      <c r="J35" s="8">
        <v>95</v>
      </c>
      <c r="K35" s="23">
        <f>60-6</f>
        <v>54</v>
      </c>
      <c r="L35" s="8">
        <v>34</v>
      </c>
      <c r="M35" s="8">
        <v>54</v>
      </c>
      <c r="N35" s="8">
        <v>43</v>
      </c>
      <c r="O35" s="8">
        <v>1</v>
      </c>
      <c r="P35" s="23">
        <f t="shared" si="0"/>
        <v>53</v>
      </c>
      <c r="Q35" s="8">
        <v>2</v>
      </c>
      <c r="R35" s="23">
        <f>58-16</f>
        <v>42</v>
      </c>
      <c r="S35" s="8">
        <v>26</v>
      </c>
      <c r="T35" s="23">
        <f>52-26</f>
        <v>26</v>
      </c>
      <c r="U35" s="8">
        <v>22</v>
      </c>
      <c r="V35" s="20">
        <v>2.3</v>
      </c>
      <c r="W35" s="23">
        <f>63-10</f>
        <v>53</v>
      </c>
      <c r="X35" s="8">
        <v>26</v>
      </c>
      <c r="Y35" s="23">
        <f>10-2</f>
        <v>8</v>
      </c>
      <c r="Z35" s="8">
        <v>88</v>
      </c>
      <c r="AA35" s="23">
        <f>60-8</f>
        <v>52</v>
      </c>
      <c r="AB35" s="8">
        <v>32</v>
      </c>
      <c r="AC35" s="8">
        <v>55</v>
      </c>
      <c r="AD35" s="8">
        <v>43</v>
      </c>
      <c r="AE35" s="8">
        <v>2</v>
      </c>
      <c r="AF35" s="23">
        <f t="shared" si="1"/>
        <v>53</v>
      </c>
      <c r="AG35" s="8">
        <v>0</v>
      </c>
      <c r="AH35" s="23">
        <f>46-18</f>
        <v>28</v>
      </c>
      <c r="AI35" s="8">
        <v>36</v>
      </c>
      <c r="AJ35" s="23">
        <f>48-27</f>
        <v>21</v>
      </c>
      <c r="AK35" s="8">
        <v>26</v>
      </c>
      <c r="AL35" s="20">
        <v>0.9</v>
      </c>
      <c r="AM35" s="23">
        <f>50-14</f>
        <v>36</v>
      </c>
      <c r="AN35" s="8">
        <v>36</v>
      </c>
      <c r="AO35" s="23">
        <f>6-5</f>
        <v>1</v>
      </c>
      <c r="AP35" s="8">
        <v>89</v>
      </c>
      <c r="AQ35" s="23">
        <f>44-7</f>
        <v>37</v>
      </c>
      <c r="AR35" s="8">
        <v>50</v>
      </c>
      <c r="AS35" s="8">
        <v>51</v>
      </c>
      <c r="AT35" s="8">
        <v>49</v>
      </c>
      <c r="AU35" s="8">
        <v>0</v>
      </c>
      <c r="AV35" s="23">
        <f t="shared" si="2"/>
        <v>51</v>
      </c>
      <c r="AW35" s="8">
        <v>0</v>
      </c>
      <c r="AX35" s="23">
        <f>51-20</f>
        <v>31</v>
      </c>
      <c r="AY35" s="8">
        <v>29</v>
      </c>
      <c r="AZ35" s="23">
        <f>58-21</f>
        <v>37</v>
      </c>
      <c r="BA35" s="8">
        <v>21</v>
      </c>
      <c r="BB35" s="20">
        <v>2.8</v>
      </c>
      <c r="BC35" s="23">
        <f>65-13</f>
        <v>52</v>
      </c>
      <c r="BD35" s="8">
        <v>22</v>
      </c>
      <c r="BE35" s="23">
        <f>6-1</f>
        <v>5</v>
      </c>
      <c r="BF35" s="8">
        <v>93</v>
      </c>
      <c r="BG35" s="23">
        <f>62-6</f>
        <v>56</v>
      </c>
      <c r="BH35" s="8">
        <v>32</v>
      </c>
      <c r="BI35" s="8">
        <v>52</v>
      </c>
      <c r="BJ35" s="8">
        <v>46</v>
      </c>
      <c r="BK35" s="8">
        <v>1</v>
      </c>
      <c r="BL35" s="23">
        <f t="shared" si="3"/>
        <v>51</v>
      </c>
      <c r="BM35" s="8">
        <v>1</v>
      </c>
      <c r="BN35" s="23">
        <f>44-25</f>
        <v>19</v>
      </c>
      <c r="BO35" s="8">
        <v>31</v>
      </c>
      <c r="BP35" s="23">
        <f>46-24</f>
        <v>22</v>
      </c>
      <c r="BQ35" s="8">
        <v>31</v>
      </c>
      <c r="BR35" s="20">
        <v>1.9</v>
      </c>
      <c r="BS35" s="23">
        <f>65-15</f>
        <v>50</v>
      </c>
      <c r="BT35" s="8">
        <v>20</v>
      </c>
      <c r="BU35" s="23">
        <f>6-2</f>
        <v>4</v>
      </c>
      <c r="BV35" s="8">
        <v>92</v>
      </c>
      <c r="BW35" s="23">
        <f>60-10</f>
        <v>50</v>
      </c>
      <c r="BX35" s="8">
        <v>30</v>
      </c>
      <c r="BY35" s="8">
        <v>55</v>
      </c>
      <c r="BZ35" s="8">
        <v>42</v>
      </c>
      <c r="CA35" s="8">
        <v>3</v>
      </c>
      <c r="CB35" s="23">
        <f t="shared" si="4"/>
        <v>52</v>
      </c>
      <c r="CC35" s="8">
        <v>0</v>
      </c>
      <c r="CD35" s="23">
        <f>44-15</f>
        <v>29</v>
      </c>
      <c r="CE35" s="8">
        <v>41</v>
      </c>
      <c r="CF35" s="23">
        <f>44-23</f>
        <v>21</v>
      </c>
      <c r="CG35" s="8">
        <v>33</v>
      </c>
      <c r="CH35" s="20">
        <v>1.7</v>
      </c>
      <c r="CI35" s="23">
        <f>60-18</f>
        <v>42</v>
      </c>
      <c r="CJ35" s="8">
        <v>23</v>
      </c>
      <c r="CK35" s="23">
        <f>7-1</f>
        <v>6</v>
      </c>
      <c r="CL35" s="8">
        <v>91</v>
      </c>
      <c r="CM35" s="23">
        <f>46-12</f>
        <v>34</v>
      </c>
      <c r="CN35" s="8">
        <v>42</v>
      </c>
      <c r="CO35" s="8">
        <v>44</v>
      </c>
      <c r="CP35" s="8">
        <v>52</v>
      </c>
      <c r="CQ35" s="8">
        <v>4</v>
      </c>
      <c r="CR35" s="23">
        <f t="shared" si="5"/>
        <v>40</v>
      </c>
      <c r="CS35" s="8">
        <v>0</v>
      </c>
      <c r="CT35" s="23">
        <f>52-12</f>
        <v>40</v>
      </c>
      <c r="CU35" s="8">
        <v>36</v>
      </c>
      <c r="CV35" s="23">
        <f>50-16</f>
        <v>34</v>
      </c>
      <c r="CW35" s="8">
        <v>34</v>
      </c>
      <c r="CX35" s="20">
        <v>2.8</v>
      </c>
      <c r="CY35" s="23">
        <f>61-10</f>
        <v>51</v>
      </c>
      <c r="CZ35" s="8">
        <v>29</v>
      </c>
      <c r="DA35" s="23">
        <f>8-1</f>
        <v>7</v>
      </c>
      <c r="DB35" s="8">
        <v>91</v>
      </c>
      <c r="DC35" s="23">
        <f>56-13</f>
        <v>43</v>
      </c>
      <c r="DD35" s="8">
        <v>31</v>
      </c>
      <c r="DE35" s="8">
        <v>48</v>
      </c>
      <c r="DF35" s="8">
        <v>52</v>
      </c>
      <c r="DG35" s="8">
        <v>1</v>
      </c>
      <c r="DH35" s="23">
        <f t="shared" si="6"/>
        <v>47</v>
      </c>
      <c r="DI35" s="8">
        <v>0</v>
      </c>
      <c r="DJ35" s="23">
        <f>45-17</f>
        <v>28</v>
      </c>
      <c r="DK35" s="8">
        <v>38</v>
      </c>
      <c r="DL35" s="23">
        <f>48-17</f>
        <v>31</v>
      </c>
      <c r="DM35" s="8">
        <v>35</v>
      </c>
      <c r="DN35" s="20">
        <v>2.3</v>
      </c>
      <c r="DO35" s="23">
        <f>71-11</f>
        <v>60</v>
      </c>
      <c r="DP35" s="8">
        <v>18</v>
      </c>
      <c r="DQ35" s="23">
        <f>5-3</f>
        <v>2</v>
      </c>
      <c r="DR35" s="8">
        <v>91</v>
      </c>
      <c r="DS35" s="23">
        <f>60-11</f>
        <v>49</v>
      </c>
      <c r="DT35" s="8">
        <v>29</v>
      </c>
      <c r="DU35" s="8">
        <v>50</v>
      </c>
      <c r="DV35" s="8">
        <v>49</v>
      </c>
      <c r="DW35" s="8">
        <v>1</v>
      </c>
      <c r="DX35" s="23">
        <f t="shared" si="7"/>
        <v>49</v>
      </c>
      <c r="DY35" s="8">
        <v>0</v>
      </c>
      <c r="DZ35" s="23">
        <f>34-28</f>
        <v>6</v>
      </c>
      <c r="EA35" s="8">
        <v>38</v>
      </c>
      <c r="EB35" s="23">
        <f>32-30</f>
        <v>2</v>
      </c>
      <c r="EC35" s="8">
        <v>38</v>
      </c>
      <c r="ED35" s="20">
        <v>-0.4</v>
      </c>
      <c r="EE35" s="23">
        <f>47-18</f>
        <v>29</v>
      </c>
      <c r="EF35" s="8">
        <v>35</v>
      </c>
      <c r="EG35" s="23">
        <f>11-3</f>
        <v>8</v>
      </c>
      <c r="EH35" s="8">
        <v>86</v>
      </c>
      <c r="EI35" s="23">
        <f>41-18</f>
        <v>23</v>
      </c>
      <c r="EJ35" s="8">
        <v>41</v>
      </c>
      <c r="EK35" s="8">
        <v>38</v>
      </c>
      <c r="EL35" s="8">
        <v>59</v>
      </c>
      <c r="EM35" s="8">
        <v>2</v>
      </c>
      <c r="EN35" s="23">
        <f t="shared" si="8"/>
        <v>36</v>
      </c>
      <c r="EO35" s="8">
        <v>1</v>
      </c>
      <c r="EP35" s="23">
        <f>47-20</f>
        <v>27</v>
      </c>
      <c r="EQ35" s="8">
        <v>33</v>
      </c>
      <c r="ER35" s="23">
        <f>48-24</f>
        <v>24</v>
      </c>
      <c r="ES35" s="8">
        <v>28</v>
      </c>
      <c r="ET35" s="20">
        <v>1.9</v>
      </c>
      <c r="EU35" s="23">
        <f>63-13</f>
        <v>50</v>
      </c>
      <c r="EV35" s="8">
        <v>25</v>
      </c>
      <c r="EW35" s="23">
        <f>7-2</f>
        <v>5</v>
      </c>
      <c r="EX35" s="8">
        <v>92</v>
      </c>
      <c r="EY35" s="23">
        <f>56-9</f>
        <v>47</v>
      </c>
      <c r="EZ35" s="8">
        <v>35</v>
      </c>
      <c r="FA35" s="8">
        <v>51</v>
      </c>
      <c r="FB35" s="8">
        <v>47</v>
      </c>
      <c r="FC35" s="8">
        <v>1</v>
      </c>
      <c r="FD35" s="23">
        <f t="shared" si="9"/>
        <v>50</v>
      </c>
      <c r="FE35" s="8">
        <v>1</v>
      </c>
      <c r="FF35" s="23">
        <f>40-24</f>
        <v>16</v>
      </c>
      <c r="FG35" s="8">
        <v>35</v>
      </c>
      <c r="FH35" s="23">
        <f>42-23</f>
        <v>19</v>
      </c>
      <c r="FI35" s="8">
        <v>36</v>
      </c>
      <c r="FJ35" s="20">
        <v>0.361</v>
      </c>
      <c r="FK35" s="23">
        <f>54-17</f>
        <v>37</v>
      </c>
      <c r="FL35" s="8">
        <v>29</v>
      </c>
      <c r="FM35" s="23">
        <f>13-5</f>
        <v>8</v>
      </c>
      <c r="FN35" s="8">
        <v>82</v>
      </c>
      <c r="FO35" s="23">
        <f>46-14</f>
        <v>32</v>
      </c>
      <c r="FP35" s="8">
        <v>41</v>
      </c>
      <c r="FQ35" s="8">
        <v>44.937925459436485</v>
      </c>
      <c r="FR35" s="8">
        <v>52.44915424457246</v>
      </c>
      <c r="FS35" s="8">
        <v>2.308956412768282</v>
      </c>
      <c r="FT35" s="112">
        <f t="shared" si="21"/>
        <v>42.6289690466682</v>
      </c>
      <c r="FU35" s="23">
        <v>0.3039638832227744</v>
      </c>
    </row>
    <row r="36" spans="1:177" ht="12">
      <c r="A36" s="1" t="s">
        <v>33</v>
      </c>
      <c r="B36" s="23">
        <f>53-25</f>
        <v>28</v>
      </c>
      <c r="C36" s="8">
        <v>23</v>
      </c>
      <c r="D36" s="23">
        <f>43-21</f>
        <v>22</v>
      </c>
      <c r="E36" s="8">
        <v>35</v>
      </c>
      <c r="F36" s="20">
        <v>1.3</v>
      </c>
      <c r="G36" s="23">
        <f>37-25</f>
        <v>12</v>
      </c>
      <c r="H36" s="8">
        <v>38</v>
      </c>
      <c r="I36" s="23">
        <f>3-3</f>
        <v>0</v>
      </c>
      <c r="J36" s="8">
        <v>94</v>
      </c>
      <c r="K36" s="23">
        <f>35-20</f>
        <v>15</v>
      </c>
      <c r="L36" s="8">
        <v>45</v>
      </c>
      <c r="M36" s="8">
        <v>50</v>
      </c>
      <c r="N36" s="8">
        <v>47</v>
      </c>
      <c r="O36" s="8">
        <v>2</v>
      </c>
      <c r="P36" s="23">
        <f t="shared" si="0"/>
        <v>48</v>
      </c>
      <c r="Q36" s="8">
        <v>0</v>
      </c>
      <c r="R36" s="23">
        <f>44-27</f>
        <v>17</v>
      </c>
      <c r="S36" s="8">
        <v>29</v>
      </c>
      <c r="T36" s="23">
        <f>50-22</f>
        <v>28</v>
      </c>
      <c r="U36" s="8">
        <v>28</v>
      </c>
      <c r="V36" s="20">
        <v>0.5</v>
      </c>
      <c r="W36" s="23">
        <f>42-26</f>
        <v>16</v>
      </c>
      <c r="X36" s="8">
        <v>32</v>
      </c>
      <c r="Y36" s="23">
        <f>11-6</f>
        <v>5</v>
      </c>
      <c r="Z36" s="8">
        <v>83</v>
      </c>
      <c r="AA36" s="23">
        <f>37-17</f>
        <v>20</v>
      </c>
      <c r="AB36" s="8">
        <v>45</v>
      </c>
      <c r="AC36" s="8">
        <v>55</v>
      </c>
      <c r="AD36" s="8">
        <v>42</v>
      </c>
      <c r="AE36" s="8">
        <v>2</v>
      </c>
      <c r="AF36" s="23">
        <f t="shared" si="1"/>
        <v>53</v>
      </c>
      <c r="AG36" s="8">
        <v>2</v>
      </c>
      <c r="AH36" s="23">
        <f>57-16</f>
        <v>41</v>
      </c>
      <c r="AI36" s="8">
        <v>27</v>
      </c>
      <c r="AJ36" s="23">
        <f>46-20</f>
        <v>26</v>
      </c>
      <c r="AK36" s="8">
        <v>34</v>
      </c>
      <c r="AL36" s="20">
        <v>1.4</v>
      </c>
      <c r="AM36" s="23">
        <f>28-31</f>
        <v>-3</v>
      </c>
      <c r="AN36" s="8">
        <v>41</v>
      </c>
      <c r="AO36" s="23">
        <f>10-6</f>
        <v>4</v>
      </c>
      <c r="AP36" s="8">
        <v>84</v>
      </c>
      <c r="AQ36" s="23">
        <f>18-25</f>
        <v>-7</v>
      </c>
      <c r="AR36" s="8">
        <v>56</v>
      </c>
      <c r="AS36" s="8">
        <v>41</v>
      </c>
      <c r="AT36" s="8">
        <v>55</v>
      </c>
      <c r="AU36" s="8">
        <v>4</v>
      </c>
      <c r="AV36" s="23">
        <f t="shared" si="2"/>
        <v>37</v>
      </c>
      <c r="AW36" s="8">
        <v>0</v>
      </c>
      <c r="AX36" s="23">
        <f>48-23</f>
        <v>25</v>
      </c>
      <c r="AY36" s="8">
        <v>29</v>
      </c>
      <c r="AZ36" s="23">
        <f>51-20</f>
        <v>31</v>
      </c>
      <c r="BA36" s="8">
        <v>28</v>
      </c>
      <c r="BB36" s="20">
        <v>0.2</v>
      </c>
      <c r="BC36" s="23">
        <f>43-25</f>
        <v>18</v>
      </c>
      <c r="BD36" s="8">
        <v>32</v>
      </c>
      <c r="BE36" s="23">
        <f>5-3</f>
        <v>2</v>
      </c>
      <c r="BF36" s="8">
        <v>92</v>
      </c>
      <c r="BG36" s="23">
        <f>43-18</f>
        <v>25</v>
      </c>
      <c r="BH36" s="8">
        <v>39</v>
      </c>
      <c r="BI36" s="8">
        <v>49</v>
      </c>
      <c r="BJ36" s="8">
        <v>48</v>
      </c>
      <c r="BK36" s="8">
        <v>2</v>
      </c>
      <c r="BL36" s="23">
        <f t="shared" si="3"/>
        <v>47</v>
      </c>
      <c r="BM36" s="8">
        <v>0</v>
      </c>
      <c r="BN36" s="23">
        <f>51-23</f>
        <v>28</v>
      </c>
      <c r="BO36" s="8">
        <v>26</v>
      </c>
      <c r="BP36" s="23">
        <f>49-26</f>
        <v>23</v>
      </c>
      <c r="BQ36" s="8">
        <v>25</v>
      </c>
      <c r="BR36" s="20">
        <v>1.5</v>
      </c>
      <c r="BS36" s="23">
        <f>37-29</f>
        <v>8</v>
      </c>
      <c r="BT36" s="8">
        <v>34</v>
      </c>
      <c r="BU36" s="23">
        <f>7-4</f>
        <v>3</v>
      </c>
      <c r="BV36" s="8">
        <v>89</v>
      </c>
      <c r="BW36" s="23">
        <f>33-21</f>
        <v>12</v>
      </c>
      <c r="BX36" s="8">
        <v>46</v>
      </c>
      <c r="BY36" s="8">
        <v>54</v>
      </c>
      <c r="BZ36" s="8">
        <v>44</v>
      </c>
      <c r="CA36" s="8">
        <v>2</v>
      </c>
      <c r="CB36" s="23">
        <f t="shared" si="4"/>
        <v>52</v>
      </c>
      <c r="CC36" s="8">
        <v>0</v>
      </c>
      <c r="CD36" s="23">
        <f>37-33</f>
        <v>4</v>
      </c>
      <c r="CE36" s="8">
        <v>31</v>
      </c>
      <c r="CF36" s="23">
        <f>39-30</f>
        <v>9</v>
      </c>
      <c r="CG36" s="8">
        <v>32</v>
      </c>
      <c r="CH36" s="20">
        <v>0.2</v>
      </c>
      <c r="CI36" s="23">
        <f>25-35</f>
        <v>-10</v>
      </c>
      <c r="CJ36" s="8">
        <v>40</v>
      </c>
      <c r="CK36" s="23">
        <f>4-1</f>
        <v>3</v>
      </c>
      <c r="CL36" s="8">
        <v>96</v>
      </c>
      <c r="CM36" s="23">
        <f>23-28</f>
        <v>-5</v>
      </c>
      <c r="CN36" s="8">
        <v>49</v>
      </c>
      <c r="CO36" s="8">
        <v>44</v>
      </c>
      <c r="CP36" s="8">
        <v>53</v>
      </c>
      <c r="CQ36" s="8">
        <v>2</v>
      </c>
      <c r="CR36" s="23">
        <f t="shared" si="5"/>
        <v>42</v>
      </c>
      <c r="CS36" s="8">
        <v>0</v>
      </c>
      <c r="CT36" s="23">
        <f>52-22</f>
        <v>30</v>
      </c>
      <c r="CU36" s="8">
        <v>26</v>
      </c>
      <c r="CV36" s="23">
        <f>49-19</f>
        <v>30</v>
      </c>
      <c r="CW36" s="8">
        <v>33</v>
      </c>
      <c r="CX36" s="20">
        <v>1.7</v>
      </c>
      <c r="CY36" s="23">
        <f>36-33</f>
        <v>3</v>
      </c>
      <c r="CZ36" s="8">
        <v>31</v>
      </c>
      <c r="DA36" s="23">
        <f>11-4</f>
        <v>7</v>
      </c>
      <c r="DB36" s="8">
        <v>85</v>
      </c>
      <c r="DC36" s="23">
        <f>39-22</f>
        <v>17</v>
      </c>
      <c r="DD36" s="8">
        <v>39</v>
      </c>
      <c r="DE36" s="8">
        <v>48</v>
      </c>
      <c r="DF36" s="8">
        <v>48</v>
      </c>
      <c r="DG36" s="8">
        <v>3</v>
      </c>
      <c r="DH36" s="23">
        <f t="shared" si="6"/>
        <v>45</v>
      </c>
      <c r="DI36" s="8">
        <v>0</v>
      </c>
      <c r="DJ36" s="23">
        <f>65-12</f>
        <v>53</v>
      </c>
      <c r="DK36" s="8">
        <v>23</v>
      </c>
      <c r="DL36" s="23">
        <f>52-14</f>
        <v>38</v>
      </c>
      <c r="DM36" s="8">
        <v>33</v>
      </c>
      <c r="DN36" s="20">
        <v>2.4</v>
      </c>
      <c r="DO36" s="23">
        <f>35-28</f>
        <v>7</v>
      </c>
      <c r="DP36" s="8">
        <v>37</v>
      </c>
      <c r="DQ36" s="23">
        <f>11-1</f>
        <v>10</v>
      </c>
      <c r="DR36" s="8">
        <v>88</v>
      </c>
      <c r="DS36" s="23">
        <f>29-27</f>
        <v>2</v>
      </c>
      <c r="DT36" s="8">
        <v>45</v>
      </c>
      <c r="DU36" s="8">
        <v>58</v>
      </c>
      <c r="DV36" s="8">
        <v>40</v>
      </c>
      <c r="DW36" s="8">
        <v>2</v>
      </c>
      <c r="DX36" s="23">
        <f t="shared" si="7"/>
        <v>56</v>
      </c>
      <c r="DY36" s="8">
        <v>0</v>
      </c>
      <c r="DZ36" s="23">
        <f>39-25</f>
        <v>14</v>
      </c>
      <c r="EA36" s="8">
        <v>37</v>
      </c>
      <c r="EB36" s="23">
        <f>27-25</f>
        <v>2</v>
      </c>
      <c r="EC36" s="8">
        <v>48</v>
      </c>
      <c r="ED36" s="20">
        <v>-0.5</v>
      </c>
      <c r="EE36" s="23">
        <f>11-41</f>
        <v>-30</v>
      </c>
      <c r="EF36" s="8">
        <v>48</v>
      </c>
      <c r="EG36" s="23">
        <f>15-4</f>
        <v>11</v>
      </c>
      <c r="EH36" s="8">
        <v>81</v>
      </c>
      <c r="EI36" s="23">
        <f>18-31</f>
        <v>-13</v>
      </c>
      <c r="EJ36" s="8">
        <v>51</v>
      </c>
      <c r="EK36" s="8">
        <v>31</v>
      </c>
      <c r="EL36" s="8">
        <v>64</v>
      </c>
      <c r="EM36" s="8">
        <v>4</v>
      </c>
      <c r="EN36" s="23">
        <f t="shared" si="8"/>
        <v>27</v>
      </c>
      <c r="EO36" s="8">
        <v>1</v>
      </c>
      <c r="EP36" s="23">
        <f>50-23</f>
        <v>27</v>
      </c>
      <c r="EQ36" s="8">
        <v>27</v>
      </c>
      <c r="ER36" s="23">
        <f>46-21</f>
        <v>25</v>
      </c>
      <c r="ES36" s="8">
        <v>33</v>
      </c>
      <c r="ET36" s="20">
        <v>1</v>
      </c>
      <c r="EU36" s="23">
        <f>35-29</f>
        <v>6</v>
      </c>
      <c r="EV36" s="8">
        <v>37</v>
      </c>
      <c r="EW36" s="23">
        <f>8-3</f>
        <v>5</v>
      </c>
      <c r="EX36" s="8">
        <v>89</v>
      </c>
      <c r="EY36" s="23">
        <f>32-22</f>
        <v>10</v>
      </c>
      <c r="EZ36" s="8">
        <v>46</v>
      </c>
      <c r="FA36" s="8">
        <v>49</v>
      </c>
      <c r="FB36" s="8">
        <v>48</v>
      </c>
      <c r="FC36" s="8">
        <v>2</v>
      </c>
      <c r="FD36" s="23">
        <f t="shared" si="9"/>
        <v>47</v>
      </c>
      <c r="FE36" s="8">
        <v>0</v>
      </c>
      <c r="FF36" s="23">
        <f>46-21</f>
        <v>25</v>
      </c>
      <c r="FG36" s="8">
        <v>33</v>
      </c>
      <c r="FH36" s="23">
        <f>41-24</f>
        <v>17</v>
      </c>
      <c r="FI36" s="8">
        <v>34</v>
      </c>
      <c r="FJ36" s="20">
        <v>0.415</v>
      </c>
      <c r="FK36" s="23">
        <f>26-33</f>
        <v>-7</v>
      </c>
      <c r="FL36" s="8">
        <v>42</v>
      </c>
      <c r="FM36" s="23">
        <f>13-4</f>
        <v>9</v>
      </c>
      <c r="FN36" s="8">
        <v>84</v>
      </c>
      <c r="FO36" s="23">
        <f>22-26</f>
        <v>-4</v>
      </c>
      <c r="FP36" s="8">
        <v>53</v>
      </c>
      <c r="FQ36" s="8">
        <v>42.71519103813634</v>
      </c>
      <c r="FR36" s="8">
        <v>54.51496142167546</v>
      </c>
      <c r="FS36" s="8">
        <v>1.9454368436459732</v>
      </c>
      <c r="FT36" s="112">
        <f t="shared" si="21"/>
        <v>40.76975419449037</v>
      </c>
      <c r="FU36" s="23">
        <v>0.8244106965422354</v>
      </c>
    </row>
    <row r="37" spans="1:177" ht="12">
      <c r="A37" s="1" t="s">
        <v>9</v>
      </c>
      <c r="B37" s="24">
        <f aca="true" t="shared" si="44" ref="B37:O37">AVERAGE(B33:B36)</f>
        <v>23.25</v>
      </c>
      <c r="C37" s="13">
        <f t="shared" si="44"/>
        <v>28</v>
      </c>
      <c r="D37" s="24">
        <f t="shared" si="44"/>
        <v>27.25</v>
      </c>
      <c r="E37" s="13">
        <f t="shared" si="44"/>
        <v>28.25</v>
      </c>
      <c r="F37" s="21">
        <f t="shared" si="44"/>
        <v>1.9749999999999999</v>
      </c>
      <c r="G37" s="24">
        <f t="shared" si="44"/>
        <v>30</v>
      </c>
      <c r="H37" s="13">
        <f t="shared" si="44"/>
        <v>29</v>
      </c>
      <c r="I37" s="24">
        <f t="shared" si="44"/>
        <v>4.25</v>
      </c>
      <c r="J37" s="13">
        <f t="shared" si="44"/>
        <v>91.75</v>
      </c>
      <c r="K37" s="24">
        <f t="shared" si="44"/>
        <v>21.5</v>
      </c>
      <c r="L37" s="13">
        <f t="shared" si="44"/>
        <v>45.5</v>
      </c>
      <c r="M37" s="13">
        <f t="shared" si="44"/>
        <v>52.5</v>
      </c>
      <c r="N37" s="13">
        <f t="shared" si="44"/>
        <v>45.25</v>
      </c>
      <c r="O37" s="13">
        <f t="shared" si="44"/>
        <v>1.25</v>
      </c>
      <c r="P37" s="24">
        <f t="shared" si="0"/>
        <v>51.25</v>
      </c>
      <c r="Q37" s="13">
        <f aca="true" t="shared" si="45" ref="Q37:AE37">AVERAGE(Q33:Q36)</f>
        <v>0.75</v>
      </c>
      <c r="R37" s="24">
        <f t="shared" si="45"/>
        <v>5.25</v>
      </c>
      <c r="S37" s="13">
        <f t="shared" si="45"/>
        <v>27.25</v>
      </c>
      <c r="T37" s="24">
        <f t="shared" si="45"/>
        <v>34</v>
      </c>
      <c r="U37" s="13">
        <f t="shared" si="45"/>
        <v>24.25</v>
      </c>
      <c r="V37" s="21">
        <f t="shared" si="45"/>
        <v>2.075</v>
      </c>
      <c r="W37" s="24">
        <f t="shared" si="45"/>
        <v>31</v>
      </c>
      <c r="X37" s="13">
        <f t="shared" si="45"/>
        <v>29.75</v>
      </c>
      <c r="Y37" s="24">
        <f t="shared" si="45"/>
        <v>7.75</v>
      </c>
      <c r="Z37" s="13">
        <f t="shared" si="45"/>
        <v>86.5</v>
      </c>
      <c r="AA37" s="24">
        <f t="shared" si="45"/>
        <v>32</v>
      </c>
      <c r="AB37" s="13">
        <f t="shared" si="45"/>
        <v>37</v>
      </c>
      <c r="AC37" s="13">
        <f t="shared" si="45"/>
        <v>55.5</v>
      </c>
      <c r="AD37" s="13">
        <f t="shared" si="45"/>
        <v>42.25</v>
      </c>
      <c r="AE37" s="13">
        <f t="shared" si="45"/>
        <v>1.5</v>
      </c>
      <c r="AF37" s="24">
        <f t="shared" si="1"/>
        <v>54</v>
      </c>
      <c r="AG37" s="13">
        <f aca="true" t="shared" si="46" ref="AG37:AU37">AVERAGE(AG33:AG36)</f>
        <v>0.75</v>
      </c>
      <c r="AH37" s="24">
        <f t="shared" si="46"/>
        <v>23</v>
      </c>
      <c r="AI37" s="13">
        <f t="shared" si="46"/>
        <v>34</v>
      </c>
      <c r="AJ37" s="24">
        <f t="shared" si="46"/>
        <v>22.75</v>
      </c>
      <c r="AK37" s="13">
        <f t="shared" si="46"/>
        <v>31</v>
      </c>
      <c r="AL37" s="21">
        <f t="shared" si="46"/>
        <v>1.125</v>
      </c>
      <c r="AM37" s="24">
        <f t="shared" si="46"/>
        <v>18</v>
      </c>
      <c r="AN37" s="13">
        <f t="shared" si="46"/>
        <v>37.75</v>
      </c>
      <c r="AO37" s="24">
        <f t="shared" si="46"/>
        <v>4.5</v>
      </c>
      <c r="AP37" s="13">
        <f t="shared" si="46"/>
        <v>88</v>
      </c>
      <c r="AQ37" s="24">
        <f t="shared" si="46"/>
        <v>14</v>
      </c>
      <c r="AR37" s="13">
        <f t="shared" si="46"/>
        <v>57.25</v>
      </c>
      <c r="AS37" s="13">
        <f t="shared" si="46"/>
        <v>46</v>
      </c>
      <c r="AT37" s="13">
        <f t="shared" si="46"/>
        <v>52.25</v>
      </c>
      <c r="AU37" s="13">
        <f t="shared" si="46"/>
        <v>1.5</v>
      </c>
      <c r="AV37" s="24">
        <f t="shared" si="2"/>
        <v>44.5</v>
      </c>
      <c r="AW37" s="13">
        <f aca="true" t="shared" si="47" ref="AW37:BK37">AVERAGE(AW33:AW36)</f>
        <v>0</v>
      </c>
      <c r="AX37" s="24">
        <f t="shared" si="47"/>
        <v>-0.5</v>
      </c>
      <c r="AY37" s="13">
        <f t="shared" si="47"/>
        <v>28</v>
      </c>
      <c r="AZ37" s="24">
        <f t="shared" si="47"/>
        <v>35.25</v>
      </c>
      <c r="BA37" s="13">
        <f t="shared" si="47"/>
        <v>26.5</v>
      </c>
      <c r="BB37" s="21">
        <f t="shared" si="47"/>
        <v>2.1499999999999995</v>
      </c>
      <c r="BC37" s="24">
        <f t="shared" si="47"/>
        <v>35.25</v>
      </c>
      <c r="BD37" s="13">
        <f t="shared" si="47"/>
        <v>27.5</v>
      </c>
      <c r="BE37" s="24">
        <f t="shared" si="47"/>
        <v>5</v>
      </c>
      <c r="BF37" s="13">
        <f t="shared" si="47"/>
        <v>90</v>
      </c>
      <c r="BG37" s="24">
        <f t="shared" si="47"/>
        <v>35.75</v>
      </c>
      <c r="BH37" s="13">
        <f t="shared" si="47"/>
        <v>34.75</v>
      </c>
      <c r="BI37" s="13">
        <f t="shared" si="47"/>
        <v>53.5</v>
      </c>
      <c r="BJ37" s="13">
        <f t="shared" si="47"/>
        <v>43.75</v>
      </c>
      <c r="BK37" s="13">
        <f t="shared" si="47"/>
        <v>1.75</v>
      </c>
      <c r="BL37" s="24">
        <f t="shared" si="3"/>
        <v>51.75</v>
      </c>
      <c r="BM37" s="13">
        <f aca="true" t="shared" si="48" ref="BM37:CA37">AVERAGE(BM33:BM36)</f>
        <v>0.75</v>
      </c>
      <c r="BN37" s="24">
        <f t="shared" si="48"/>
        <v>18</v>
      </c>
      <c r="BO37" s="13">
        <f t="shared" si="48"/>
        <v>31.5</v>
      </c>
      <c r="BP37" s="24">
        <f t="shared" si="48"/>
        <v>23.5</v>
      </c>
      <c r="BQ37" s="13">
        <f t="shared" si="48"/>
        <v>30.25</v>
      </c>
      <c r="BR37" s="21">
        <f t="shared" si="48"/>
        <v>1.65</v>
      </c>
      <c r="BS37" s="24">
        <f t="shared" si="48"/>
        <v>26.5</v>
      </c>
      <c r="BT37" s="13">
        <f t="shared" si="48"/>
        <v>30.75</v>
      </c>
      <c r="BU37" s="24">
        <f t="shared" si="48"/>
        <v>6</v>
      </c>
      <c r="BV37" s="13">
        <f t="shared" si="48"/>
        <v>89.5</v>
      </c>
      <c r="BW37" s="24">
        <f t="shared" si="48"/>
        <v>27.75</v>
      </c>
      <c r="BX37" s="13">
        <f t="shared" si="48"/>
        <v>41</v>
      </c>
      <c r="BY37" s="13">
        <f t="shared" si="48"/>
        <v>53.75</v>
      </c>
      <c r="BZ37" s="13">
        <f t="shared" si="48"/>
        <v>44.75</v>
      </c>
      <c r="CA37" s="13">
        <f t="shared" si="48"/>
        <v>1.5</v>
      </c>
      <c r="CB37" s="24">
        <f t="shared" si="4"/>
        <v>52.25</v>
      </c>
      <c r="CC37" s="13">
        <f aca="true" t="shared" si="49" ref="CC37:CQ37">AVERAGE(CC33:CC36)</f>
        <v>0</v>
      </c>
      <c r="CD37" s="24">
        <f t="shared" si="49"/>
        <v>12.25</v>
      </c>
      <c r="CE37" s="13">
        <f t="shared" si="49"/>
        <v>33.25</v>
      </c>
      <c r="CF37" s="24">
        <f t="shared" si="49"/>
        <v>20.25</v>
      </c>
      <c r="CG37" s="13">
        <f t="shared" si="49"/>
        <v>31.75</v>
      </c>
      <c r="CH37" s="21">
        <f t="shared" si="49"/>
        <v>1.1</v>
      </c>
      <c r="CI37" s="24">
        <f t="shared" si="49"/>
        <v>22.75</v>
      </c>
      <c r="CJ37" s="13">
        <f t="shared" si="49"/>
        <v>33</v>
      </c>
      <c r="CK37" s="24">
        <f t="shared" si="49"/>
        <v>1.25</v>
      </c>
      <c r="CL37" s="13">
        <f t="shared" si="49"/>
        <v>89.25</v>
      </c>
      <c r="CM37" s="24">
        <f t="shared" si="49"/>
        <v>21.75</v>
      </c>
      <c r="CN37" s="13">
        <f t="shared" si="49"/>
        <v>46.5</v>
      </c>
      <c r="CO37" s="13">
        <f t="shared" si="49"/>
        <v>48.75</v>
      </c>
      <c r="CP37" s="13">
        <f t="shared" si="49"/>
        <v>48</v>
      </c>
      <c r="CQ37" s="13">
        <f t="shared" si="49"/>
        <v>2.75</v>
      </c>
      <c r="CR37" s="24">
        <f t="shared" si="5"/>
        <v>46</v>
      </c>
      <c r="CS37" s="13">
        <f aca="true" t="shared" si="50" ref="CS37:DG37">AVERAGE(CS33:CS36)</f>
        <v>0.25</v>
      </c>
      <c r="CT37" s="24">
        <f t="shared" si="50"/>
        <v>18</v>
      </c>
      <c r="CU37" s="13">
        <f t="shared" si="50"/>
        <v>29.5</v>
      </c>
      <c r="CV37" s="24">
        <f t="shared" si="50"/>
        <v>33.25</v>
      </c>
      <c r="CW37" s="13">
        <f t="shared" si="50"/>
        <v>29.5</v>
      </c>
      <c r="CX37" s="21">
        <f t="shared" si="50"/>
        <v>2.05</v>
      </c>
      <c r="CY37" s="24">
        <f t="shared" si="50"/>
        <v>25.75</v>
      </c>
      <c r="CZ37" s="13">
        <f t="shared" si="50"/>
        <v>30.75</v>
      </c>
      <c r="DA37" s="24">
        <f t="shared" si="50"/>
        <v>7.75</v>
      </c>
      <c r="DB37" s="13">
        <f t="shared" si="50"/>
        <v>86.75</v>
      </c>
      <c r="DC37" s="24">
        <f t="shared" si="50"/>
        <v>17.5</v>
      </c>
      <c r="DD37" s="13">
        <f t="shared" si="50"/>
        <v>43.5</v>
      </c>
      <c r="DE37" s="13">
        <f t="shared" si="50"/>
        <v>49</v>
      </c>
      <c r="DF37" s="13">
        <f t="shared" si="50"/>
        <v>49.25</v>
      </c>
      <c r="DG37" s="13">
        <f t="shared" si="50"/>
        <v>1.75</v>
      </c>
      <c r="DH37" s="24">
        <f t="shared" si="6"/>
        <v>47.25</v>
      </c>
      <c r="DI37" s="13">
        <f aca="true" t="shared" si="51" ref="DI37:DW37">AVERAGE(DI33:DI36)</f>
        <v>0.25</v>
      </c>
      <c r="DJ37" s="24">
        <f t="shared" si="51"/>
        <v>28.5</v>
      </c>
      <c r="DK37" s="13">
        <f t="shared" si="51"/>
        <v>33.5</v>
      </c>
      <c r="DL37" s="24">
        <f t="shared" si="51"/>
        <v>31.75</v>
      </c>
      <c r="DM37" s="13">
        <f t="shared" si="51"/>
        <v>35.75</v>
      </c>
      <c r="DN37" s="21">
        <f t="shared" si="51"/>
        <v>2.125</v>
      </c>
      <c r="DO37" s="24">
        <f t="shared" si="51"/>
        <v>35.25</v>
      </c>
      <c r="DP37" s="13">
        <f t="shared" si="51"/>
        <v>33.25</v>
      </c>
      <c r="DQ37" s="24">
        <f t="shared" si="51"/>
        <v>7</v>
      </c>
      <c r="DR37" s="13">
        <f t="shared" si="51"/>
        <v>87.25</v>
      </c>
      <c r="DS37" s="24">
        <f t="shared" si="51"/>
        <v>26.25</v>
      </c>
      <c r="DT37" s="13">
        <f t="shared" si="51"/>
        <v>42.5</v>
      </c>
      <c r="DU37" s="13">
        <f t="shared" si="51"/>
        <v>50</v>
      </c>
      <c r="DV37" s="13">
        <f t="shared" si="51"/>
        <v>48.75</v>
      </c>
      <c r="DW37" s="13">
        <f t="shared" si="51"/>
        <v>1.25</v>
      </c>
      <c r="DX37" s="24">
        <f t="shared" si="7"/>
        <v>48.75</v>
      </c>
      <c r="DY37" s="13">
        <f aca="true" t="shared" si="52" ref="DY37:EM37">AVERAGE(DY33:DY36)</f>
        <v>0</v>
      </c>
      <c r="DZ37" s="24">
        <f t="shared" si="52"/>
        <v>0</v>
      </c>
      <c r="EA37" s="13">
        <f t="shared" si="52"/>
        <v>35.75</v>
      </c>
      <c r="EB37" s="24">
        <f t="shared" si="52"/>
        <v>2.25</v>
      </c>
      <c r="EC37" s="13">
        <f t="shared" si="52"/>
        <v>40.75</v>
      </c>
      <c r="ED37" s="21">
        <f t="shared" si="52"/>
        <v>-0.42500000000000004</v>
      </c>
      <c r="EE37" s="24">
        <f t="shared" si="52"/>
        <v>5</v>
      </c>
      <c r="EF37" s="13">
        <f t="shared" si="52"/>
        <v>41</v>
      </c>
      <c r="EG37" s="24">
        <f t="shared" si="52"/>
        <v>11.25</v>
      </c>
      <c r="EH37" s="13">
        <f t="shared" si="52"/>
        <v>83</v>
      </c>
      <c r="EI37" s="24">
        <f t="shared" si="52"/>
        <v>8.25</v>
      </c>
      <c r="EJ37" s="13">
        <f t="shared" si="52"/>
        <v>48</v>
      </c>
      <c r="EK37" s="13">
        <f t="shared" si="52"/>
        <v>36.25</v>
      </c>
      <c r="EL37" s="13">
        <f t="shared" si="52"/>
        <v>60.5</v>
      </c>
      <c r="EM37" s="13">
        <f t="shared" si="52"/>
        <v>2.25</v>
      </c>
      <c r="EN37" s="24">
        <f t="shared" si="8"/>
        <v>34</v>
      </c>
      <c r="EO37" s="13">
        <f aca="true" t="shared" si="53" ref="EO37:FC37">AVERAGE(EO33:EO36)</f>
        <v>0.75</v>
      </c>
      <c r="EP37" s="24">
        <f t="shared" si="53"/>
        <v>14.5</v>
      </c>
      <c r="EQ37" s="13">
        <f t="shared" si="53"/>
        <v>30.25</v>
      </c>
      <c r="ER37" s="24">
        <f t="shared" si="53"/>
        <v>27</v>
      </c>
      <c r="ES37" s="13">
        <f t="shared" si="53"/>
        <v>30.5</v>
      </c>
      <c r="ET37" s="21">
        <f t="shared" si="53"/>
        <v>1.65</v>
      </c>
      <c r="EU37" s="24">
        <f t="shared" si="53"/>
        <v>27.25</v>
      </c>
      <c r="EV37" s="13">
        <f t="shared" si="53"/>
        <v>31.75</v>
      </c>
      <c r="EW37" s="24">
        <f t="shared" si="53"/>
        <v>6.25</v>
      </c>
      <c r="EX37" s="13">
        <f t="shared" si="53"/>
        <v>89</v>
      </c>
      <c r="EY37" s="24">
        <f t="shared" si="53"/>
        <v>23.5</v>
      </c>
      <c r="EZ37" s="13">
        <f t="shared" si="53"/>
        <v>43.5</v>
      </c>
      <c r="FA37" s="13">
        <f t="shared" si="53"/>
        <v>50.5</v>
      </c>
      <c r="FB37" s="13">
        <f t="shared" si="53"/>
        <v>47.25</v>
      </c>
      <c r="FC37" s="13">
        <f t="shared" si="53"/>
        <v>1.5</v>
      </c>
      <c r="FD37" s="24">
        <f t="shared" si="9"/>
        <v>49</v>
      </c>
      <c r="FE37" s="13">
        <f>AVERAGE(FE33:FE36)</f>
        <v>0.5</v>
      </c>
      <c r="FF37" s="24">
        <f aca="true" t="shared" si="54" ref="FF37:FP37">AVERAGE(FF33:FF36)</f>
        <v>9.75</v>
      </c>
      <c r="FG37" s="13">
        <f t="shared" si="54"/>
        <v>34.75</v>
      </c>
      <c r="FH37" s="24">
        <f t="shared" si="54"/>
        <v>15.25</v>
      </c>
      <c r="FI37" s="13">
        <f t="shared" si="54"/>
        <v>34</v>
      </c>
      <c r="FJ37" s="21">
        <f t="shared" si="54"/>
        <v>0.3005</v>
      </c>
      <c r="FK37" s="24">
        <f t="shared" si="54"/>
        <v>17.75</v>
      </c>
      <c r="FL37" s="13">
        <f t="shared" si="54"/>
        <v>35.25</v>
      </c>
      <c r="FM37" s="24">
        <f t="shared" si="54"/>
        <v>9</v>
      </c>
      <c r="FN37" s="13">
        <f t="shared" si="54"/>
        <v>82.75</v>
      </c>
      <c r="FO37" s="24">
        <f t="shared" si="54"/>
        <v>14.5</v>
      </c>
      <c r="FP37" s="13">
        <f t="shared" si="54"/>
        <v>47.5</v>
      </c>
      <c r="FQ37" s="13">
        <f>AVERAGE(FQ33:FQ36)</f>
        <v>43.55963817127944</v>
      </c>
      <c r="FR37" s="13">
        <f>AVERAGE(FR33:FR36)</f>
        <v>53.73016101780406</v>
      </c>
      <c r="FS37" s="13">
        <f>AVERAGE(FS33:FS36)</f>
        <v>2.276052679591911</v>
      </c>
      <c r="FT37" s="112">
        <f t="shared" si="21"/>
        <v>41.283585491687525</v>
      </c>
      <c r="FU37" s="13">
        <f>AVERAGE(FU33:FU36)</f>
        <v>0.4341481313245904</v>
      </c>
    </row>
    <row r="38" spans="1:177" ht="12">
      <c r="A38" s="1" t="s">
        <v>48</v>
      </c>
      <c r="B38" s="23">
        <f>10-54</f>
        <v>-44</v>
      </c>
      <c r="C38" s="8">
        <v>36</v>
      </c>
      <c r="D38" s="23">
        <f>51-15</f>
        <v>36</v>
      </c>
      <c r="E38" s="8">
        <v>33</v>
      </c>
      <c r="F38" s="20">
        <v>3.2</v>
      </c>
      <c r="G38" s="23">
        <f>48-15</f>
        <v>33</v>
      </c>
      <c r="H38" s="8">
        <v>37</v>
      </c>
      <c r="I38" s="23">
        <f>8-1</f>
        <v>7</v>
      </c>
      <c r="J38" s="8">
        <v>91</v>
      </c>
      <c r="K38" s="23">
        <f>41-11</f>
        <v>30</v>
      </c>
      <c r="L38" s="8">
        <v>49</v>
      </c>
      <c r="M38" s="8">
        <v>65</v>
      </c>
      <c r="N38" s="8">
        <v>34</v>
      </c>
      <c r="O38" s="8">
        <v>0</v>
      </c>
      <c r="P38" s="23">
        <f t="shared" si="0"/>
        <v>65</v>
      </c>
      <c r="Q38" s="8">
        <v>0</v>
      </c>
      <c r="R38" s="23">
        <f>11-61</f>
        <v>-50</v>
      </c>
      <c r="S38" s="8">
        <v>28</v>
      </c>
      <c r="T38" s="23">
        <f>55-17</f>
        <v>38</v>
      </c>
      <c r="U38" s="8">
        <v>27</v>
      </c>
      <c r="V38" s="20">
        <v>2.9</v>
      </c>
      <c r="W38" s="23">
        <f>52-8</f>
        <v>44</v>
      </c>
      <c r="X38" s="8">
        <v>40</v>
      </c>
      <c r="Y38" s="23">
        <f>4-4</f>
        <v>0</v>
      </c>
      <c r="Z38" s="8">
        <v>92</v>
      </c>
      <c r="AA38" s="23">
        <f>54-9</f>
        <v>45</v>
      </c>
      <c r="AB38" s="8">
        <v>37</v>
      </c>
      <c r="AC38" s="8">
        <v>63</v>
      </c>
      <c r="AD38" s="8">
        <v>36</v>
      </c>
      <c r="AE38" s="8">
        <v>1</v>
      </c>
      <c r="AF38" s="23">
        <f t="shared" si="1"/>
        <v>62</v>
      </c>
      <c r="AG38" s="8">
        <v>0</v>
      </c>
      <c r="AH38" s="23">
        <f>15-56</f>
        <v>-41</v>
      </c>
      <c r="AI38" s="8">
        <v>29</v>
      </c>
      <c r="AJ38" s="23">
        <f>52-20</f>
        <v>32</v>
      </c>
      <c r="AK38" s="8">
        <v>27</v>
      </c>
      <c r="AL38" s="20">
        <v>2.5</v>
      </c>
      <c r="AM38" s="23">
        <f>36-18</f>
        <v>18</v>
      </c>
      <c r="AN38" s="8">
        <v>46</v>
      </c>
      <c r="AO38" s="23">
        <f>9-3</f>
        <v>6</v>
      </c>
      <c r="AP38" s="8">
        <v>88</v>
      </c>
      <c r="AQ38" s="23">
        <f>32-21</f>
        <v>11</v>
      </c>
      <c r="AR38" s="8">
        <v>48</v>
      </c>
      <c r="AS38" s="8">
        <v>49</v>
      </c>
      <c r="AT38" s="8">
        <v>47</v>
      </c>
      <c r="AU38" s="8">
        <v>3</v>
      </c>
      <c r="AV38" s="23">
        <f t="shared" si="2"/>
        <v>46</v>
      </c>
      <c r="AW38" s="8">
        <v>0</v>
      </c>
      <c r="AX38" s="23">
        <f>14-52</f>
        <v>-38</v>
      </c>
      <c r="AY38" s="8">
        <v>34</v>
      </c>
      <c r="AZ38" s="23">
        <f>52-19</f>
        <v>33</v>
      </c>
      <c r="BA38" s="8">
        <v>29</v>
      </c>
      <c r="BB38" s="20">
        <v>2</v>
      </c>
      <c r="BC38" s="23">
        <f>50-14</f>
        <v>36</v>
      </c>
      <c r="BD38" s="8">
        <v>35</v>
      </c>
      <c r="BE38" s="23">
        <f>14-2</f>
        <v>12</v>
      </c>
      <c r="BF38" s="8">
        <v>84</v>
      </c>
      <c r="BG38" s="23">
        <f>49-15</f>
        <v>34</v>
      </c>
      <c r="BH38" s="8">
        <v>35</v>
      </c>
      <c r="BI38" s="8">
        <v>57</v>
      </c>
      <c r="BJ38" s="8">
        <v>42</v>
      </c>
      <c r="BK38" s="8">
        <v>1</v>
      </c>
      <c r="BL38" s="23">
        <f t="shared" si="3"/>
        <v>56</v>
      </c>
      <c r="BM38" s="8">
        <v>0</v>
      </c>
      <c r="BN38" s="23">
        <f>20-54</f>
        <v>-34</v>
      </c>
      <c r="BO38" s="8">
        <v>26</v>
      </c>
      <c r="BP38" s="23">
        <f>54-14</f>
        <v>40</v>
      </c>
      <c r="BQ38" s="8">
        <v>32</v>
      </c>
      <c r="BR38" s="20">
        <v>3.5</v>
      </c>
      <c r="BS38" s="23">
        <f>55-14</f>
        <v>41</v>
      </c>
      <c r="BT38" s="8">
        <v>31</v>
      </c>
      <c r="BU38" s="23">
        <f>7-1</f>
        <v>6</v>
      </c>
      <c r="BV38" s="8">
        <v>91</v>
      </c>
      <c r="BW38" s="23">
        <f>51-9</f>
        <v>42</v>
      </c>
      <c r="BX38" s="8">
        <v>39</v>
      </c>
      <c r="BY38" s="8">
        <v>55</v>
      </c>
      <c r="BZ38" s="8">
        <v>42</v>
      </c>
      <c r="CA38" s="8">
        <v>1</v>
      </c>
      <c r="CB38" s="23">
        <f t="shared" si="4"/>
        <v>54</v>
      </c>
      <c r="CC38" s="8">
        <v>2</v>
      </c>
      <c r="CD38" s="23">
        <f>10-57</f>
        <v>-47</v>
      </c>
      <c r="CE38" s="8">
        <v>33</v>
      </c>
      <c r="CF38" s="23">
        <f>50-17</f>
        <v>33</v>
      </c>
      <c r="CG38" s="8">
        <v>33</v>
      </c>
      <c r="CH38" s="20">
        <v>3.1</v>
      </c>
      <c r="CI38" s="23">
        <f>37-23</f>
        <v>14</v>
      </c>
      <c r="CJ38" s="8">
        <v>40</v>
      </c>
      <c r="CK38" s="23">
        <f>7-2</f>
        <v>5</v>
      </c>
      <c r="CL38" s="8">
        <v>91</v>
      </c>
      <c r="CM38" s="23">
        <f>36-13</f>
        <v>23</v>
      </c>
      <c r="CN38" s="8">
        <v>51</v>
      </c>
      <c r="CO38" s="8">
        <v>54</v>
      </c>
      <c r="CP38" s="8">
        <v>45</v>
      </c>
      <c r="CQ38" s="8">
        <v>1</v>
      </c>
      <c r="CR38" s="23">
        <f t="shared" si="5"/>
        <v>53</v>
      </c>
      <c r="CS38" s="8">
        <v>0</v>
      </c>
      <c r="CT38" s="23">
        <f>26-54</f>
        <v>-28</v>
      </c>
      <c r="CU38" s="8">
        <v>20</v>
      </c>
      <c r="CV38" s="23">
        <f>54-25</f>
        <v>29</v>
      </c>
      <c r="CW38" s="8">
        <v>20</v>
      </c>
      <c r="CX38" s="20">
        <v>2.8</v>
      </c>
      <c r="CY38" s="23">
        <f>52-6</f>
        <v>46</v>
      </c>
      <c r="CZ38" s="8">
        <v>42</v>
      </c>
      <c r="DA38" s="23">
        <f>7-1</f>
        <v>6</v>
      </c>
      <c r="DB38" s="8">
        <v>92</v>
      </c>
      <c r="DC38" s="23">
        <f>59-8</f>
        <v>51</v>
      </c>
      <c r="DD38" s="8">
        <v>34</v>
      </c>
      <c r="DE38" s="8">
        <v>64</v>
      </c>
      <c r="DF38" s="8">
        <v>34</v>
      </c>
      <c r="DG38" s="8">
        <v>2</v>
      </c>
      <c r="DH38" s="23">
        <f t="shared" si="6"/>
        <v>62</v>
      </c>
      <c r="DI38" s="8">
        <v>0</v>
      </c>
      <c r="DJ38" s="23">
        <f>18-47</f>
        <v>-29</v>
      </c>
      <c r="DK38" s="8">
        <v>35</v>
      </c>
      <c r="DL38" s="23">
        <f>53-16</f>
        <v>37</v>
      </c>
      <c r="DM38" s="8">
        <v>31</v>
      </c>
      <c r="DN38" s="20">
        <v>3.3</v>
      </c>
      <c r="DO38" s="23">
        <f>56-7</f>
        <v>49</v>
      </c>
      <c r="DP38" s="8">
        <v>37</v>
      </c>
      <c r="DQ38" s="23">
        <f>10-2</f>
        <v>8</v>
      </c>
      <c r="DR38" s="8">
        <v>88</v>
      </c>
      <c r="DS38" s="23">
        <f>54-6</f>
        <v>48</v>
      </c>
      <c r="DT38" s="8">
        <v>40</v>
      </c>
      <c r="DU38" s="8">
        <v>62</v>
      </c>
      <c r="DV38" s="8">
        <v>35</v>
      </c>
      <c r="DW38" s="8">
        <v>2</v>
      </c>
      <c r="DX38" s="23">
        <f t="shared" si="7"/>
        <v>60</v>
      </c>
      <c r="DY38" s="8">
        <v>0</v>
      </c>
      <c r="DZ38" s="23">
        <f>18-39</f>
        <v>-21</v>
      </c>
      <c r="EA38" s="8">
        <v>44</v>
      </c>
      <c r="EB38" s="23">
        <f>36-20</f>
        <v>16</v>
      </c>
      <c r="EC38" s="8">
        <v>45</v>
      </c>
      <c r="ED38" s="20">
        <v>0.9</v>
      </c>
      <c r="EE38" s="23">
        <f>35-16</f>
        <v>19</v>
      </c>
      <c r="EF38" s="8">
        <v>48</v>
      </c>
      <c r="EG38" s="23">
        <f>10-3</f>
        <v>7</v>
      </c>
      <c r="EH38" s="8">
        <v>87</v>
      </c>
      <c r="EI38" s="23">
        <f>32-15</f>
        <v>17</v>
      </c>
      <c r="EJ38" s="8">
        <v>53</v>
      </c>
      <c r="EK38" s="8">
        <v>38</v>
      </c>
      <c r="EL38" s="8">
        <v>61</v>
      </c>
      <c r="EM38" s="8">
        <v>0</v>
      </c>
      <c r="EN38" s="23">
        <f t="shared" si="8"/>
        <v>38</v>
      </c>
      <c r="EO38" s="8">
        <v>1</v>
      </c>
      <c r="EP38" s="23">
        <f>15-53</f>
        <v>-38</v>
      </c>
      <c r="EQ38" s="8">
        <v>32</v>
      </c>
      <c r="ER38" s="23">
        <f>51-18</f>
        <v>33</v>
      </c>
      <c r="ES38" s="8">
        <v>31</v>
      </c>
      <c r="ET38" s="20">
        <v>2.7</v>
      </c>
      <c r="EU38" s="23">
        <f>48-13</f>
        <v>35</v>
      </c>
      <c r="EV38" s="8">
        <v>39</v>
      </c>
      <c r="EW38" s="23">
        <f>9-2</f>
        <v>7</v>
      </c>
      <c r="EX38" s="8">
        <v>89</v>
      </c>
      <c r="EY38" s="23">
        <f>45-12</f>
        <v>33</v>
      </c>
      <c r="EZ38" s="8">
        <v>43</v>
      </c>
      <c r="FA38" s="8">
        <v>58</v>
      </c>
      <c r="FB38" s="8">
        <v>40</v>
      </c>
      <c r="FC38" s="8">
        <v>1</v>
      </c>
      <c r="FD38" s="23">
        <f t="shared" si="9"/>
        <v>57</v>
      </c>
      <c r="FE38" s="8">
        <v>0</v>
      </c>
      <c r="FF38" s="23">
        <f>15-53</f>
        <v>-38</v>
      </c>
      <c r="FG38" s="8">
        <v>32</v>
      </c>
      <c r="FH38" s="23">
        <f>46-25</f>
        <v>21</v>
      </c>
      <c r="FI38" s="8">
        <v>28</v>
      </c>
      <c r="FJ38" s="20">
        <v>0.543</v>
      </c>
      <c r="FK38" s="23">
        <f>40-17</f>
        <v>23</v>
      </c>
      <c r="FL38" s="8">
        <v>43</v>
      </c>
      <c r="FM38" s="23">
        <f>14-3</f>
        <v>11</v>
      </c>
      <c r="FN38" s="8">
        <v>83</v>
      </c>
      <c r="FO38" s="23">
        <f>33-19</f>
        <v>14</v>
      </c>
      <c r="FP38" s="8">
        <v>48</v>
      </c>
      <c r="FQ38" s="8">
        <v>43.30382573727845</v>
      </c>
      <c r="FR38" s="8">
        <v>47.77546817131672</v>
      </c>
      <c r="FS38" s="8">
        <v>8.13578194926445</v>
      </c>
      <c r="FT38" s="112">
        <f t="shared" si="21"/>
        <v>35.168043788014</v>
      </c>
      <c r="FU38" s="23">
        <v>0.7849241421403845</v>
      </c>
    </row>
    <row r="39" spans="1:177" ht="12">
      <c r="A39" s="1" t="s">
        <v>36</v>
      </c>
      <c r="B39" s="23">
        <f>50-20</f>
        <v>30</v>
      </c>
      <c r="C39" s="8">
        <v>30</v>
      </c>
      <c r="D39" s="23">
        <f>52-17</f>
        <v>35</v>
      </c>
      <c r="E39" s="8">
        <v>30</v>
      </c>
      <c r="F39" s="20">
        <v>1.2</v>
      </c>
      <c r="G39" s="23">
        <f>55-13</f>
        <v>42</v>
      </c>
      <c r="H39" s="8">
        <v>32</v>
      </c>
      <c r="I39" s="23">
        <f>4-1</f>
        <v>3</v>
      </c>
      <c r="J39" s="8">
        <v>95</v>
      </c>
      <c r="K39" s="23">
        <f>54-12</f>
        <v>42</v>
      </c>
      <c r="L39" s="8">
        <v>34</v>
      </c>
      <c r="M39" s="8">
        <v>54</v>
      </c>
      <c r="N39" s="8">
        <v>44</v>
      </c>
      <c r="O39" s="8">
        <v>2</v>
      </c>
      <c r="P39" s="23">
        <f t="shared" si="0"/>
        <v>52</v>
      </c>
      <c r="Q39" s="8">
        <v>1</v>
      </c>
      <c r="R39" s="23">
        <f>56-17</f>
        <v>39</v>
      </c>
      <c r="S39" s="8">
        <v>26</v>
      </c>
      <c r="T39" s="23">
        <f>55-16</f>
        <v>39</v>
      </c>
      <c r="U39" s="8">
        <v>29</v>
      </c>
      <c r="V39" s="20">
        <v>1.1</v>
      </c>
      <c r="W39" s="23">
        <f>59-12</f>
        <v>47</v>
      </c>
      <c r="X39" s="8">
        <v>29</v>
      </c>
      <c r="Y39" s="23">
        <f>4-2</f>
        <v>2</v>
      </c>
      <c r="Z39" s="8">
        <v>95</v>
      </c>
      <c r="AA39" s="23">
        <f>56-11</f>
        <v>45</v>
      </c>
      <c r="AB39" s="8">
        <v>33</v>
      </c>
      <c r="AC39" s="8">
        <v>56</v>
      </c>
      <c r="AD39" s="8">
        <v>42</v>
      </c>
      <c r="AE39" s="8">
        <v>1</v>
      </c>
      <c r="AF39" s="23">
        <f t="shared" si="1"/>
        <v>55</v>
      </c>
      <c r="AG39" s="8">
        <v>1</v>
      </c>
      <c r="AH39" s="23">
        <f>43-17</f>
        <v>26</v>
      </c>
      <c r="AI39" s="8">
        <v>40</v>
      </c>
      <c r="AJ39" s="23">
        <f>46-17</f>
        <v>29</v>
      </c>
      <c r="AK39" s="8">
        <v>37</v>
      </c>
      <c r="AL39" s="20">
        <v>0.6</v>
      </c>
      <c r="AM39" s="23">
        <f>47-18</f>
        <v>29</v>
      </c>
      <c r="AN39" s="8">
        <v>35</v>
      </c>
      <c r="AO39" s="23">
        <f>7-3</f>
        <v>4</v>
      </c>
      <c r="AP39" s="8">
        <v>90</v>
      </c>
      <c r="AQ39" s="23">
        <f>42-20</f>
        <v>22</v>
      </c>
      <c r="AR39" s="8">
        <v>38</v>
      </c>
      <c r="AS39" s="8">
        <v>42</v>
      </c>
      <c r="AT39" s="8">
        <v>44</v>
      </c>
      <c r="AU39" s="8">
        <v>1</v>
      </c>
      <c r="AV39" s="23">
        <f t="shared" si="2"/>
        <v>41</v>
      </c>
      <c r="AW39" s="8">
        <v>1</v>
      </c>
      <c r="AX39" s="23">
        <f>52-17</f>
        <v>35</v>
      </c>
      <c r="AY39" s="8">
        <v>31</v>
      </c>
      <c r="AZ39" s="23">
        <f>50-19</f>
        <v>31</v>
      </c>
      <c r="BA39" s="8">
        <v>30</v>
      </c>
      <c r="BB39" s="20">
        <v>0.7</v>
      </c>
      <c r="BC39" s="23">
        <f>47-19</f>
        <v>28</v>
      </c>
      <c r="BD39" s="8">
        <v>34</v>
      </c>
      <c r="BE39" s="23">
        <f>4-2</f>
        <v>2</v>
      </c>
      <c r="BF39" s="8">
        <v>93</v>
      </c>
      <c r="BG39" s="23">
        <f>44-16</f>
        <v>28</v>
      </c>
      <c r="BH39" s="8">
        <v>40</v>
      </c>
      <c r="BI39" s="8">
        <v>52</v>
      </c>
      <c r="BJ39" s="8">
        <v>45</v>
      </c>
      <c r="BK39" s="8">
        <v>2</v>
      </c>
      <c r="BL39" s="23">
        <f t="shared" si="3"/>
        <v>50</v>
      </c>
      <c r="BM39" s="8">
        <v>2</v>
      </c>
      <c r="BN39" s="23">
        <f>53-20</f>
        <v>33</v>
      </c>
      <c r="BO39" s="8">
        <v>26</v>
      </c>
      <c r="BP39" s="23">
        <f>39-27</f>
        <v>12</v>
      </c>
      <c r="BQ39" s="8">
        <v>34</v>
      </c>
      <c r="BR39" s="20">
        <v>-0.1</v>
      </c>
      <c r="BS39" s="23">
        <f>51-20</f>
        <v>31</v>
      </c>
      <c r="BT39" s="8">
        <v>29</v>
      </c>
      <c r="BU39" s="23">
        <f>3-2</f>
        <v>1</v>
      </c>
      <c r="BV39" s="8">
        <v>95</v>
      </c>
      <c r="BW39" s="23">
        <f>43-19</f>
        <v>24</v>
      </c>
      <c r="BX39" s="8">
        <v>38</v>
      </c>
      <c r="BY39" s="8">
        <v>45</v>
      </c>
      <c r="BZ39" s="8">
        <v>51</v>
      </c>
      <c r="CA39" s="8">
        <v>2</v>
      </c>
      <c r="CB39" s="23">
        <f t="shared" si="4"/>
        <v>43</v>
      </c>
      <c r="CC39" s="8">
        <v>2</v>
      </c>
      <c r="CD39" s="23">
        <f>53-21</f>
        <v>32</v>
      </c>
      <c r="CE39" s="8">
        <v>25</v>
      </c>
      <c r="CF39" s="23">
        <f>47-21</f>
        <v>26</v>
      </c>
      <c r="CG39" s="8">
        <v>33</v>
      </c>
      <c r="CH39" s="20">
        <v>0.2</v>
      </c>
      <c r="CI39" s="23">
        <f>49-15</f>
        <v>34</v>
      </c>
      <c r="CJ39" s="8">
        <v>35</v>
      </c>
      <c r="CK39" s="23">
        <f>8-2</f>
        <v>6</v>
      </c>
      <c r="CL39" s="8">
        <v>91</v>
      </c>
      <c r="CM39" s="23">
        <f>49-12</f>
        <v>37</v>
      </c>
      <c r="CN39" s="8">
        <v>39</v>
      </c>
      <c r="CO39" s="8">
        <v>52</v>
      </c>
      <c r="CP39" s="8">
        <v>47</v>
      </c>
      <c r="CQ39" s="8">
        <v>1</v>
      </c>
      <c r="CR39" s="23">
        <f t="shared" si="5"/>
        <v>51</v>
      </c>
      <c r="CS39" s="8">
        <v>0</v>
      </c>
      <c r="CT39" s="23">
        <f>56-16</f>
        <v>40</v>
      </c>
      <c r="CU39" s="8">
        <v>28</v>
      </c>
      <c r="CV39" s="23">
        <f>50-16</f>
        <v>34</v>
      </c>
      <c r="CW39" s="8">
        <v>33</v>
      </c>
      <c r="CX39" s="20">
        <v>0.8</v>
      </c>
      <c r="CY39" s="23">
        <f>55-14</f>
        <v>41</v>
      </c>
      <c r="CZ39" s="8">
        <v>31</v>
      </c>
      <c r="DA39" s="23">
        <f>3-3</f>
        <v>0</v>
      </c>
      <c r="DB39" s="8">
        <v>94</v>
      </c>
      <c r="DC39" s="23">
        <f>51-15</f>
        <v>36</v>
      </c>
      <c r="DD39" s="8">
        <v>33</v>
      </c>
      <c r="DE39" s="8">
        <v>49</v>
      </c>
      <c r="DF39" s="8">
        <v>49</v>
      </c>
      <c r="DG39" s="8">
        <v>1</v>
      </c>
      <c r="DH39" s="23">
        <f t="shared" si="6"/>
        <v>48</v>
      </c>
      <c r="DI39" s="8">
        <v>1</v>
      </c>
      <c r="DJ39" s="23">
        <f>48-18</f>
        <v>30</v>
      </c>
      <c r="DK39" s="8">
        <v>34</v>
      </c>
      <c r="DL39" s="23">
        <f>40-19</f>
        <v>21</v>
      </c>
      <c r="DM39" s="8">
        <v>40</v>
      </c>
      <c r="DN39" s="20">
        <v>0.2</v>
      </c>
      <c r="DO39" s="23">
        <f>44-13</f>
        <v>31</v>
      </c>
      <c r="DP39" s="8">
        <v>43</v>
      </c>
      <c r="DQ39" s="23">
        <f>7-2</f>
        <v>5</v>
      </c>
      <c r="DR39" s="8">
        <v>92</v>
      </c>
      <c r="DS39" s="23">
        <f>41-16</f>
        <v>25</v>
      </c>
      <c r="DT39" s="8">
        <v>44</v>
      </c>
      <c r="DU39" s="8">
        <v>50</v>
      </c>
      <c r="DV39" s="8">
        <v>47</v>
      </c>
      <c r="DW39" s="8">
        <v>1</v>
      </c>
      <c r="DX39" s="23">
        <f t="shared" si="7"/>
        <v>49</v>
      </c>
      <c r="DY39" s="8">
        <v>1</v>
      </c>
      <c r="DZ39" s="23">
        <f>34-28</f>
        <v>6</v>
      </c>
      <c r="EA39" s="8">
        <v>38</v>
      </c>
      <c r="EB39" s="23">
        <f>31-25</f>
        <v>6</v>
      </c>
      <c r="EC39" s="8">
        <v>44</v>
      </c>
      <c r="ED39" s="20">
        <v>-1.2</v>
      </c>
      <c r="EE39" s="23">
        <f>34-24</f>
        <v>10</v>
      </c>
      <c r="EF39" s="8">
        <v>42</v>
      </c>
      <c r="EG39" s="23">
        <f>7-3</f>
        <v>4</v>
      </c>
      <c r="EH39" s="8">
        <v>90</v>
      </c>
      <c r="EI39" s="23">
        <f>28-24</f>
        <v>4</v>
      </c>
      <c r="EJ39" s="8">
        <v>48</v>
      </c>
      <c r="EK39" s="8">
        <v>28</v>
      </c>
      <c r="EL39" s="8">
        <v>67</v>
      </c>
      <c r="EM39" s="8">
        <v>3</v>
      </c>
      <c r="EN39" s="23">
        <f t="shared" si="8"/>
        <v>25</v>
      </c>
      <c r="EO39" s="8">
        <v>2</v>
      </c>
      <c r="EP39" s="23">
        <f>50-19</f>
        <v>31</v>
      </c>
      <c r="EQ39" s="8">
        <v>31</v>
      </c>
      <c r="ER39" s="23">
        <f>47-19</f>
        <v>28</v>
      </c>
      <c r="ES39" s="8">
        <v>34</v>
      </c>
      <c r="ET39" s="20">
        <v>0.6</v>
      </c>
      <c r="EU39" s="23">
        <f>50-16</f>
        <v>34</v>
      </c>
      <c r="EV39" s="8">
        <v>34</v>
      </c>
      <c r="EW39" s="23">
        <f>5-2</f>
        <v>3</v>
      </c>
      <c r="EX39" s="8">
        <v>93</v>
      </c>
      <c r="EY39" s="23">
        <f>47-15</f>
        <v>32</v>
      </c>
      <c r="EZ39" s="8">
        <v>38</v>
      </c>
      <c r="FA39" s="8">
        <v>49</v>
      </c>
      <c r="FB39" s="8">
        <v>48</v>
      </c>
      <c r="FC39" s="8">
        <v>2</v>
      </c>
      <c r="FD39" s="23">
        <f t="shared" si="9"/>
        <v>47</v>
      </c>
      <c r="FE39" s="8">
        <v>1</v>
      </c>
      <c r="FF39" s="23">
        <f>43-18</f>
        <v>25</v>
      </c>
      <c r="FG39" s="8">
        <v>39</v>
      </c>
      <c r="FH39" s="23">
        <f>37-26</f>
        <v>11</v>
      </c>
      <c r="FI39" s="8">
        <v>37</v>
      </c>
      <c r="FJ39" s="20">
        <v>0.084</v>
      </c>
      <c r="FK39" s="23">
        <f>43-16</f>
        <v>27</v>
      </c>
      <c r="FL39" s="8">
        <v>41</v>
      </c>
      <c r="FM39" s="23">
        <f>10-2</f>
        <v>8</v>
      </c>
      <c r="FN39" s="8">
        <v>88</v>
      </c>
      <c r="FO39" s="23">
        <f>37-13</f>
        <v>24</v>
      </c>
      <c r="FP39" s="8">
        <v>50</v>
      </c>
      <c r="FQ39" s="8">
        <v>39.17754459138843</v>
      </c>
      <c r="FR39" s="8">
        <v>57.480721987817354</v>
      </c>
      <c r="FS39" s="8">
        <v>1.7645383605879972</v>
      </c>
      <c r="FT39" s="112">
        <f t="shared" si="21"/>
        <v>37.413006230800434</v>
      </c>
      <c r="FU39" s="23">
        <v>1.5771950602062101</v>
      </c>
    </row>
    <row r="40" spans="1:177" ht="12">
      <c r="A40" s="1" t="s">
        <v>32</v>
      </c>
      <c r="B40" s="23">
        <f>14-60</f>
        <v>-46</v>
      </c>
      <c r="C40" s="8">
        <v>26</v>
      </c>
      <c r="D40" s="23">
        <f>51-18</f>
        <v>33</v>
      </c>
      <c r="E40" s="8">
        <v>31</v>
      </c>
      <c r="F40" s="20">
        <v>2.7</v>
      </c>
      <c r="G40" s="23">
        <f>77-6</f>
        <v>71</v>
      </c>
      <c r="H40" s="8">
        <v>17</v>
      </c>
      <c r="I40" s="23">
        <f>4-3</f>
        <v>1</v>
      </c>
      <c r="J40" s="8">
        <v>93</v>
      </c>
      <c r="K40" s="23">
        <f>71-6</f>
        <v>65</v>
      </c>
      <c r="L40" s="8">
        <v>23</v>
      </c>
      <c r="M40" s="8">
        <v>58</v>
      </c>
      <c r="N40" s="8">
        <v>41</v>
      </c>
      <c r="O40" s="8">
        <v>1</v>
      </c>
      <c r="P40" s="23">
        <f t="shared" si="0"/>
        <v>57</v>
      </c>
      <c r="Q40" s="8">
        <v>0</v>
      </c>
      <c r="R40" s="23">
        <f>15-59</f>
        <v>-44</v>
      </c>
      <c r="S40" s="8">
        <v>26</v>
      </c>
      <c r="T40" s="23">
        <f>58-15</f>
        <v>43</v>
      </c>
      <c r="U40" s="8">
        <v>28</v>
      </c>
      <c r="V40" s="20">
        <v>3.2</v>
      </c>
      <c r="W40" s="23">
        <f>74-6</f>
        <v>68</v>
      </c>
      <c r="X40" s="8">
        <v>20</v>
      </c>
      <c r="Y40" s="23">
        <f>5-2</f>
        <v>3</v>
      </c>
      <c r="Z40" s="8">
        <v>93</v>
      </c>
      <c r="AA40" s="23">
        <f>70-7</f>
        <v>63</v>
      </c>
      <c r="AB40" s="8">
        <v>23</v>
      </c>
      <c r="AC40" s="8">
        <v>58</v>
      </c>
      <c r="AD40" s="8">
        <v>41</v>
      </c>
      <c r="AE40" s="8">
        <v>1</v>
      </c>
      <c r="AF40" s="23">
        <f t="shared" si="1"/>
        <v>57</v>
      </c>
      <c r="AG40" s="8">
        <v>1</v>
      </c>
      <c r="AH40" s="23">
        <f>22-47</f>
        <v>-25</v>
      </c>
      <c r="AI40" s="8">
        <v>31</v>
      </c>
      <c r="AJ40" s="23">
        <f>49-17</f>
        <v>32</v>
      </c>
      <c r="AK40" s="8">
        <v>34</v>
      </c>
      <c r="AL40" s="20">
        <v>2.4</v>
      </c>
      <c r="AM40" s="23">
        <f>68-9</f>
        <v>59</v>
      </c>
      <c r="AN40" s="8">
        <v>23</v>
      </c>
      <c r="AO40" s="23">
        <f>9-3</f>
        <v>6</v>
      </c>
      <c r="AP40" s="8">
        <v>88</v>
      </c>
      <c r="AQ40" s="23">
        <f>64-10</f>
        <v>54</v>
      </c>
      <c r="AR40" s="8">
        <v>26</v>
      </c>
      <c r="AS40" s="8">
        <v>52</v>
      </c>
      <c r="AT40" s="8">
        <v>47</v>
      </c>
      <c r="AU40" s="8">
        <v>1</v>
      </c>
      <c r="AV40" s="23">
        <f t="shared" si="2"/>
        <v>51</v>
      </c>
      <c r="AW40" s="8">
        <v>0</v>
      </c>
      <c r="AX40" s="23">
        <f>9-57</f>
        <v>-48</v>
      </c>
      <c r="AY40" s="8">
        <v>34</v>
      </c>
      <c r="AZ40" s="23">
        <f>48-19</f>
        <v>29</v>
      </c>
      <c r="BA40" s="8">
        <v>33</v>
      </c>
      <c r="BB40" s="20">
        <v>1.9</v>
      </c>
      <c r="BC40" s="23">
        <f>66-12</f>
        <v>54</v>
      </c>
      <c r="BD40" s="8">
        <v>22</v>
      </c>
      <c r="BE40" s="23">
        <f>12-2</f>
        <v>10</v>
      </c>
      <c r="BF40" s="8">
        <v>86</v>
      </c>
      <c r="BG40" s="23">
        <f>61-12</f>
        <v>49</v>
      </c>
      <c r="BH40" s="8">
        <v>27</v>
      </c>
      <c r="BI40" s="8">
        <v>49</v>
      </c>
      <c r="BJ40" s="8">
        <v>47</v>
      </c>
      <c r="BK40" s="8">
        <v>4</v>
      </c>
      <c r="BL40" s="23">
        <f t="shared" si="3"/>
        <v>45</v>
      </c>
      <c r="BM40" s="8">
        <v>0</v>
      </c>
      <c r="BN40" s="23">
        <f>19-45</f>
        <v>-26</v>
      </c>
      <c r="BO40" s="8">
        <v>36</v>
      </c>
      <c r="BP40" s="23">
        <f>46-18</f>
        <v>28</v>
      </c>
      <c r="BQ40" s="8">
        <v>36</v>
      </c>
      <c r="BR40" s="20">
        <v>1.8</v>
      </c>
      <c r="BS40" s="23">
        <f>65-11</f>
        <v>54</v>
      </c>
      <c r="BT40" s="8">
        <v>24</v>
      </c>
      <c r="BU40" s="23">
        <f>9-1</f>
        <v>8</v>
      </c>
      <c r="BV40" s="8">
        <v>90</v>
      </c>
      <c r="BW40" s="23">
        <f>63-11</f>
        <v>52</v>
      </c>
      <c r="BX40" s="8">
        <v>26</v>
      </c>
      <c r="BY40" s="8">
        <v>54</v>
      </c>
      <c r="BZ40" s="8">
        <v>44</v>
      </c>
      <c r="CA40" s="8">
        <v>0</v>
      </c>
      <c r="CB40" s="23">
        <f t="shared" si="4"/>
        <v>54</v>
      </c>
      <c r="CC40" s="8">
        <v>1</v>
      </c>
      <c r="CD40" s="23">
        <f>7-68</f>
        <v>-61</v>
      </c>
      <c r="CE40" s="8">
        <v>24</v>
      </c>
      <c r="CF40" s="23">
        <f>46-23</f>
        <v>23</v>
      </c>
      <c r="CG40" s="8">
        <v>31</v>
      </c>
      <c r="CH40" s="20">
        <v>1.6</v>
      </c>
      <c r="CI40" s="23">
        <f>67-13</f>
        <v>54</v>
      </c>
      <c r="CJ40" s="8">
        <v>21</v>
      </c>
      <c r="CK40" s="23">
        <f>9-1</f>
        <v>8</v>
      </c>
      <c r="CL40" s="8">
        <v>90</v>
      </c>
      <c r="CM40" s="23">
        <f>62-12</f>
        <v>50</v>
      </c>
      <c r="CN40" s="8">
        <v>26</v>
      </c>
      <c r="CO40" s="8">
        <v>53</v>
      </c>
      <c r="CP40" s="8">
        <v>46</v>
      </c>
      <c r="CQ40" s="8">
        <v>1</v>
      </c>
      <c r="CR40" s="23">
        <f t="shared" si="5"/>
        <v>52</v>
      </c>
      <c r="CS40" s="8">
        <v>0</v>
      </c>
      <c r="CT40" s="23">
        <f>11-51</f>
        <v>-40</v>
      </c>
      <c r="CU40" s="8">
        <v>39</v>
      </c>
      <c r="CV40" s="23">
        <f>45-17</f>
        <v>28</v>
      </c>
      <c r="CW40" s="8">
        <v>38</v>
      </c>
      <c r="CX40" s="20">
        <v>2.1</v>
      </c>
      <c r="CY40" s="23">
        <f>64-12</f>
        <v>52</v>
      </c>
      <c r="CZ40" s="8">
        <v>24</v>
      </c>
      <c r="DA40" s="23">
        <f>6-5</f>
        <v>1</v>
      </c>
      <c r="DB40" s="8">
        <v>89</v>
      </c>
      <c r="DC40" s="23">
        <f>61-11</f>
        <v>50</v>
      </c>
      <c r="DD40" s="8">
        <v>28</v>
      </c>
      <c r="DE40" s="8">
        <v>47</v>
      </c>
      <c r="DF40" s="8">
        <v>52</v>
      </c>
      <c r="DG40" s="8">
        <v>1</v>
      </c>
      <c r="DH40" s="23">
        <f t="shared" si="6"/>
        <v>46</v>
      </c>
      <c r="DI40" s="8">
        <v>0</v>
      </c>
      <c r="DJ40" s="23">
        <f>10-54</f>
        <v>-44</v>
      </c>
      <c r="DK40" s="8">
        <v>36</v>
      </c>
      <c r="DL40" s="23">
        <f>45-23</f>
        <v>22</v>
      </c>
      <c r="DM40" s="8">
        <v>31</v>
      </c>
      <c r="DN40" s="20">
        <v>1.6</v>
      </c>
      <c r="DO40" s="23">
        <f>66-7</f>
        <v>59</v>
      </c>
      <c r="DP40" s="8">
        <v>26</v>
      </c>
      <c r="DQ40" s="23">
        <f>8-1</f>
        <v>7</v>
      </c>
      <c r="DR40" s="8">
        <v>91</v>
      </c>
      <c r="DS40" s="23">
        <f>64-7</f>
        <v>57</v>
      </c>
      <c r="DT40" s="8">
        <v>28</v>
      </c>
      <c r="DU40" s="8">
        <v>48</v>
      </c>
      <c r="DV40" s="8">
        <v>50</v>
      </c>
      <c r="DW40" s="8">
        <v>2</v>
      </c>
      <c r="DX40" s="23">
        <f t="shared" si="7"/>
        <v>46</v>
      </c>
      <c r="DY40" s="8">
        <v>0</v>
      </c>
      <c r="DZ40" s="23">
        <f>15-37</f>
        <v>-22</v>
      </c>
      <c r="EA40" s="8">
        <v>48</v>
      </c>
      <c r="EB40" s="23">
        <f>27-28</f>
        <v>-1</v>
      </c>
      <c r="EC40" s="8">
        <v>46</v>
      </c>
      <c r="ED40" s="20">
        <v>-0.6</v>
      </c>
      <c r="EE40" s="23">
        <f>58-13</f>
        <v>45</v>
      </c>
      <c r="EF40" s="8">
        <v>29</v>
      </c>
      <c r="EG40" s="23">
        <f>12-3</f>
        <v>9</v>
      </c>
      <c r="EH40" s="8">
        <v>85</v>
      </c>
      <c r="EI40" s="23">
        <f>56-13</f>
        <v>43</v>
      </c>
      <c r="EJ40" s="8">
        <v>30</v>
      </c>
      <c r="EK40" s="8">
        <v>30</v>
      </c>
      <c r="EL40" s="8">
        <v>69</v>
      </c>
      <c r="EM40" s="8">
        <v>1</v>
      </c>
      <c r="EN40" s="23">
        <f t="shared" si="8"/>
        <v>29</v>
      </c>
      <c r="EO40" s="8">
        <v>0</v>
      </c>
      <c r="EP40" s="23">
        <f>14-54</f>
        <v>-40</v>
      </c>
      <c r="EQ40" s="8">
        <v>32</v>
      </c>
      <c r="ER40" s="23">
        <f>47-19</f>
        <v>28</v>
      </c>
      <c r="ES40" s="8">
        <v>34</v>
      </c>
      <c r="ET40" s="20">
        <v>2</v>
      </c>
      <c r="EU40" s="23">
        <f>69-9</f>
        <v>60</v>
      </c>
      <c r="EV40" s="8">
        <v>22</v>
      </c>
      <c r="EW40" s="23">
        <f>8-2</f>
        <v>6</v>
      </c>
      <c r="EX40" s="8">
        <v>90</v>
      </c>
      <c r="EY40" s="23">
        <f>65-9</f>
        <v>56</v>
      </c>
      <c r="EZ40" s="8">
        <v>26</v>
      </c>
      <c r="FA40" s="8">
        <v>51</v>
      </c>
      <c r="FB40" s="8">
        <v>47</v>
      </c>
      <c r="FC40" s="8">
        <v>1</v>
      </c>
      <c r="FD40" s="23">
        <f t="shared" si="9"/>
        <v>50</v>
      </c>
      <c r="FE40" s="8">
        <v>0</v>
      </c>
      <c r="FF40" s="23">
        <f>15-55</f>
        <v>-40</v>
      </c>
      <c r="FG40" s="8">
        <v>29</v>
      </c>
      <c r="FH40" s="23">
        <f>34-37</f>
        <v>-3</v>
      </c>
      <c r="FI40" s="8">
        <v>29</v>
      </c>
      <c r="FJ40" s="20">
        <v>-1.097</v>
      </c>
      <c r="FK40" s="23">
        <f>62-16</f>
        <v>46</v>
      </c>
      <c r="FL40" s="8">
        <v>22</v>
      </c>
      <c r="FM40" s="23">
        <f>11-4</f>
        <v>7</v>
      </c>
      <c r="FN40" s="8">
        <v>86</v>
      </c>
      <c r="FO40" s="23">
        <f>53-16</f>
        <v>37</v>
      </c>
      <c r="FP40" s="8">
        <v>31</v>
      </c>
      <c r="FQ40" s="8">
        <v>42.34050371008482</v>
      </c>
      <c r="FR40" s="8">
        <v>53.1101081389764</v>
      </c>
      <c r="FS40" s="8">
        <v>1.9892961336365533</v>
      </c>
      <c r="FT40" s="112">
        <f t="shared" si="21"/>
        <v>40.35120757644827</v>
      </c>
      <c r="FU40" s="23">
        <v>2.5600920173022406</v>
      </c>
    </row>
    <row r="41" spans="1:177" ht="12">
      <c r="A41" s="1" t="s">
        <v>33</v>
      </c>
      <c r="B41" s="23">
        <f>41-36</f>
        <v>5</v>
      </c>
      <c r="C41" s="8">
        <v>22.97880618391765</v>
      </c>
      <c r="D41" s="23">
        <f>50-30</f>
        <v>20</v>
      </c>
      <c r="E41" s="8">
        <v>19.93911776867978</v>
      </c>
      <c r="F41" s="20">
        <v>0.448</v>
      </c>
      <c r="G41" s="23">
        <f>50-21</f>
        <v>29</v>
      </c>
      <c r="H41" s="8">
        <v>29.039068788631084</v>
      </c>
      <c r="I41" s="23">
        <f>7-5</f>
        <v>2</v>
      </c>
      <c r="J41" s="8">
        <v>88.14276571464897</v>
      </c>
      <c r="K41" s="23">
        <f>49-23</f>
        <v>26</v>
      </c>
      <c r="L41" s="8">
        <v>28.147364987169894</v>
      </c>
      <c r="M41" s="8">
        <v>58.77336010163026</v>
      </c>
      <c r="N41" s="8">
        <v>38.56862038118846</v>
      </c>
      <c r="O41" s="8">
        <v>2.3723184321383464</v>
      </c>
      <c r="P41" s="23">
        <f t="shared" si="0"/>
        <v>56.40104166949192</v>
      </c>
      <c r="Q41" s="8">
        <v>0.2857010850429364</v>
      </c>
      <c r="R41" s="23">
        <f>51-29</f>
        <v>22</v>
      </c>
      <c r="S41" s="8">
        <v>20.624307841105917</v>
      </c>
      <c r="T41" s="23">
        <f>56-22</f>
        <v>34</v>
      </c>
      <c r="U41" s="8">
        <v>21.359995774327846</v>
      </c>
      <c r="V41" s="20">
        <v>0.904</v>
      </c>
      <c r="W41" s="23">
        <f>51-20</f>
        <v>31</v>
      </c>
      <c r="X41" s="8">
        <v>28.933576110456443</v>
      </c>
      <c r="Y41" s="23">
        <f>8-3</f>
        <v>5</v>
      </c>
      <c r="Z41" s="8">
        <v>89</v>
      </c>
      <c r="AA41" s="23">
        <f>50-22</f>
        <v>28</v>
      </c>
      <c r="AB41" s="8">
        <v>28</v>
      </c>
      <c r="AC41" s="8">
        <v>59.54213744094739</v>
      </c>
      <c r="AD41" s="8">
        <v>38.10492478319276</v>
      </c>
      <c r="AE41" s="8">
        <v>1.9497450430198335</v>
      </c>
      <c r="AF41" s="23">
        <f t="shared" si="1"/>
        <v>57.59239239792756</v>
      </c>
      <c r="AG41" s="8">
        <v>0.40319273284001</v>
      </c>
      <c r="AH41" s="23">
        <f>45-27</f>
        <v>18</v>
      </c>
      <c r="AI41" s="8">
        <v>28.494826721086184</v>
      </c>
      <c r="AJ41" s="23">
        <f>44-31</f>
        <v>13</v>
      </c>
      <c r="AK41" s="8">
        <v>25.32933696973853</v>
      </c>
      <c r="AL41" s="20">
        <v>-0.1</v>
      </c>
      <c r="AM41" s="23">
        <f>40-27</f>
        <v>13</v>
      </c>
      <c r="AN41" s="8">
        <v>32</v>
      </c>
      <c r="AO41" s="23">
        <f>11-3</f>
        <v>8</v>
      </c>
      <c r="AP41" s="8">
        <v>86.14210029101476</v>
      </c>
      <c r="AQ41" s="23">
        <f>37-27</f>
        <v>10</v>
      </c>
      <c r="AR41" s="8">
        <v>35.72035252362977</v>
      </c>
      <c r="AS41" s="8">
        <v>45.34861111460936</v>
      </c>
      <c r="AT41" s="8">
        <v>51.74972311111529</v>
      </c>
      <c r="AU41" s="8">
        <v>2.5278677607558673</v>
      </c>
      <c r="AV41" s="23">
        <f t="shared" si="2"/>
        <v>42.820743353853494</v>
      </c>
      <c r="AW41" s="8">
        <v>0.37379801351949155</v>
      </c>
      <c r="AX41" s="23">
        <f>48-22</f>
        <v>26</v>
      </c>
      <c r="AY41" s="8">
        <v>29.221338728334125</v>
      </c>
      <c r="AZ41" s="23">
        <f>50-30</f>
        <v>20</v>
      </c>
      <c r="BA41" s="8">
        <v>20.01375433618228</v>
      </c>
      <c r="BB41" s="20">
        <v>0.222</v>
      </c>
      <c r="BC41" s="23">
        <f>45-29</f>
        <v>16</v>
      </c>
      <c r="BD41" s="8">
        <v>26.337216396079587</v>
      </c>
      <c r="BE41" s="23">
        <f>14-5</f>
        <v>9</v>
      </c>
      <c r="BF41" s="8">
        <v>81.45285074145072</v>
      </c>
      <c r="BG41" s="23">
        <f>42-30</f>
        <v>12</v>
      </c>
      <c r="BH41" s="8">
        <v>27.701927236730544</v>
      </c>
      <c r="BI41" s="8">
        <v>53.52646864180682</v>
      </c>
      <c r="BJ41" s="8">
        <v>43.49725331026333</v>
      </c>
      <c r="BK41" s="8">
        <v>2.7591453756637474</v>
      </c>
      <c r="BL41" s="23">
        <f t="shared" si="3"/>
        <v>50.76732326614307</v>
      </c>
      <c r="BM41" s="8">
        <v>0</v>
      </c>
      <c r="BN41" s="23">
        <f>43-28</f>
        <v>15</v>
      </c>
      <c r="BO41" s="8">
        <v>28.95571594462564</v>
      </c>
      <c r="BP41" s="23">
        <f>56-23</f>
        <v>33</v>
      </c>
      <c r="BQ41" s="8">
        <v>21.0455486661558</v>
      </c>
      <c r="BR41" s="20">
        <v>0.766</v>
      </c>
      <c r="BS41" s="23">
        <f>42-26</f>
        <v>16</v>
      </c>
      <c r="BT41" s="8">
        <v>31.63914717419537</v>
      </c>
      <c r="BU41" s="23">
        <f>11-0</f>
        <v>11</v>
      </c>
      <c r="BV41" s="8">
        <v>88.27302265875302</v>
      </c>
      <c r="BW41" s="23">
        <f>40-25</f>
        <v>15</v>
      </c>
      <c r="BX41" s="8">
        <v>34.35129140096239</v>
      </c>
      <c r="BY41" s="8">
        <v>46.07513523511596</v>
      </c>
      <c r="BZ41" s="8">
        <v>52.88484685190237</v>
      </c>
      <c r="CA41" s="8">
        <v>0.959792380771663</v>
      </c>
      <c r="CB41" s="23">
        <f t="shared" si="4"/>
        <v>45.1153428543443</v>
      </c>
      <c r="CC41" s="8">
        <v>0</v>
      </c>
      <c r="CD41" s="23">
        <f>39-33</f>
        <v>6</v>
      </c>
      <c r="CE41" s="8">
        <v>27.838365922921</v>
      </c>
      <c r="CF41" s="23">
        <f>53-24</f>
        <v>29</v>
      </c>
      <c r="CG41" s="8">
        <v>22.614496810799068</v>
      </c>
      <c r="CH41" s="20">
        <v>0.842</v>
      </c>
      <c r="CI41" s="23">
        <f>50-16</f>
        <v>34</v>
      </c>
      <c r="CJ41" s="8">
        <v>34.42929984524771</v>
      </c>
      <c r="CK41" s="23">
        <f>6-3</f>
        <v>3</v>
      </c>
      <c r="CL41" s="8">
        <v>91.25782346788368</v>
      </c>
      <c r="CM41" s="23">
        <f>53-19</f>
        <v>34</v>
      </c>
      <c r="CN41" s="8">
        <v>28.914913213774973</v>
      </c>
      <c r="CO41" s="8">
        <v>55.16699477081198</v>
      </c>
      <c r="CP41" s="8">
        <v>42.25435977126031</v>
      </c>
      <c r="CQ41" s="8">
        <v>2.578645457927713</v>
      </c>
      <c r="CR41" s="23">
        <f t="shared" si="5"/>
        <v>52.58834931288427</v>
      </c>
      <c r="CS41" s="8">
        <v>0</v>
      </c>
      <c r="CT41" s="23">
        <f>38-35</f>
        <v>3</v>
      </c>
      <c r="CU41" s="8">
        <v>27.89657020087789</v>
      </c>
      <c r="CV41" s="23">
        <f>48-23</f>
        <v>25</v>
      </c>
      <c r="CW41" s="8">
        <v>29.421798057781512</v>
      </c>
      <c r="CX41" s="20">
        <v>0.681</v>
      </c>
      <c r="CY41" s="23">
        <f>46-23</f>
        <v>23</v>
      </c>
      <c r="CZ41" s="8">
        <v>31.245074168213087</v>
      </c>
      <c r="DA41" s="23">
        <f>9-2</f>
        <v>7</v>
      </c>
      <c r="DB41" s="8">
        <v>88.09165204260924</v>
      </c>
      <c r="DC41" s="23">
        <f>44-26</f>
        <v>18</v>
      </c>
      <c r="DD41" s="8">
        <v>29.763831798851932</v>
      </c>
      <c r="DE41" s="8">
        <v>53.43933700664017</v>
      </c>
      <c r="DF41" s="8">
        <v>44.1699848436742</v>
      </c>
      <c r="DG41" s="8">
        <v>1.5761669281853148</v>
      </c>
      <c r="DH41" s="23">
        <f t="shared" si="6"/>
        <v>51.86317007845486</v>
      </c>
      <c r="DI41" s="8">
        <v>0.8145112215003046</v>
      </c>
      <c r="DJ41" s="23">
        <f>46-17</f>
        <v>29</v>
      </c>
      <c r="DK41" s="8">
        <v>36.82626149267189</v>
      </c>
      <c r="DL41" s="23">
        <f>43-29</f>
        <v>14</v>
      </c>
      <c r="DM41" s="8">
        <v>28.093671980300815</v>
      </c>
      <c r="DN41" s="20">
        <v>-0.478</v>
      </c>
      <c r="DO41" s="23">
        <f>46-22</f>
        <v>24</v>
      </c>
      <c r="DP41" s="8">
        <v>31.67970605159123</v>
      </c>
      <c r="DQ41" s="23">
        <f>9-0</f>
        <v>9</v>
      </c>
      <c r="DR41" s="8">
        <v>90.90224946238453</v>
      </c>
      <c r="DS41" s="23">
        <f>44-18</f>
        <v>26</v>
      </c>
      <c r="DT41" s="8">
        <v>37.358694968735676</v>
      </c>
      <c r="DU41" s="8">
        <v>50.961842817937864</v>
      </c>
      <c r="DV41" s="8">
        <v>48.35925302446913</v>
      </c>
      <c r="DW41" s="8">
        <v>0.6789041575930044</v>
      </c>
      <c r="DX41" s="23">
        <f t="shared" si="7"/>
        <v>50.28293866034486</v>
      </c>
      <c r="DY41" s="8">
        <v>0</v>
      </c>
      <c r="DZ41" s="23">
        <f>31-42</f>
        <v>-11</v>
      </c>
      <c r="EA41" s="8">
        <v>27.36603359680644</v>
      </c>
      <c r="EB41" s="23">
        <f>30-40</f>
        <v>-10</v>
      </c>
      <c r="EC41" s="8">
        <v>29.66649178400601</v>
      </c>
      <c r="ED41" s="20">
        <v>-1.62</v>
      </c>
      <c r="EE41" s="23">
        <f>22-32</f>
        <v>-10</v>
      </c>
      <c r="EF41" s="8">
        <v>46.04869657759284</v>
      </c>
      <c r="EG41" s="23">
        <f>17-5</f>
        <v>12</v>
      </c>
      <c r="EH41" s="8">
        <v>78.24866501136215</v>
      </c>
      <c r="EI41" s="23">
        <f>26-36</f>
        <v>-10</v>
      </c>
      <c r="EJ41" s="8">
        <v>38.760791179216724</v>
      </c>
      <c r="EK41" s="8">
        <v>29.618654785995453</v>
      </c>
      <c r="EL41" s="8">
        <v>67.34824862685416</v>
      </c>
      <c r="EM41" s="8">
        <v>3.033096587150389</v>
      </c>
      <c r="EN41" s="23">
        <f t="shared" si="8"/>
        <v>26.585558198845064</v>
      </c>
      <c r="EO41" s="8">
        <v>0</v>
      </c>
      <c r="EP41" s="23">
        <f>43-30</f>
        <v>13</v>
      </c>
      <c r="EQ41" s="8">
        <v>27.068719210464494</v>
      </c>
      <c r="ER41" s="23">
        <f>48-29</f>
        <v>19</v>
      </c>
      <c r="ES41" s="8">
        <v>23.230873824393573</v>
      </c>
      <c r="ET41" s="20">
        <v>0.229</v>
      </c>
      <c r="EU41" s="23">
        <f>45-24</f>
        <v>21</v>
      </c>
      <c r="EV41" s="8">
        <v>31.290959976955907</v>
      </c>
      <c r="EW41" s="23">
        <f>10-3</f>
        <v>7</v>
      </c>
      <c r="EX41" s="8">
        <v>86.68931911716093</v>
      </c>
      <c r="EY41" s="23">
        <f>44-25</f>
        <v>19</v>
      </c>
      <c r="EZ41" s="8">
        <v>31.14095956025622</v>
      </c>
      <c r="FA41" s="8">
        <v>52.04694062732844</v>
      </c>
      <c r="FB41" s="8">
        <v>45.57969655492406</v>
      </c>
      <c r="FC41" s="8">
        <v>2.1150669217059104</v>
      </c>
      <c r="FD41" s="23">
        <f t="shared" si="9"/>
        <v>49.93187370562253</v>
      </c>
      <c r="FE41" s="8">
        <v>0</v>
      </c>
      <c r="FF41" s="23">
        <f>42-32</f>
        <v>10</v>
      </c>
      <c r="FG41" s="8">
        <v>32.354743744558355</v>
      </c>
      <c r="FH41" s="23">
        <f>41-33</f>
        <v>8</v>
      </c>
      <c r="FI41" s="8">
        <v>26.411779324337736</v>
      </c>
      <c r="FJ41" s="20">
        <v>-0.306</v>
      </c>
      <c r="FK41" s="23">
        <f>35-28</f>
        <v>7</v>
      </c>
      <c r="FL41" s="8">
        <v>36.88192596900068</v>
      </c>
      <c r="FM41" s="23">
        <f>14-4</f>
        <v>10</v>
      </c>
      <c r="FN41" s="8">
        <v>82</v>
      </c>
      <c r="FO41" s="23">
        <v>39.009964238094575</v>
      </c>
      <c r="FP41" s="8">
        <v>39.009964238094575</v>
      </c>
      <c r="FQ41" s="8">
        <v>44.76404979050427</v>
      </c>
      <c r="FR41" s="8">
        <v>50.28758305398231</v>
      </c>
      <c r="FS41" s="8">
        <v>3.257797856080032</v>
      </c>
      <c r="FT41" s="112">
        <f t="shared" si="21"/>
        <v>41.506251934424235</v>
      </c>
      <c r="FU41" s="23">
        <v>1.6905692994333927</v>
      </c>
    </row>
    <row r="42" spans="1:177" ht="12">
      <c r="A42" s="1" t="s">
        <v>9</v>
      </c>
      <c r="B42" s="24">
        <f aca="true" t="shared" si="55" ref="B42:O42">AVERAGE(B38:B41)</f>
        <v>-13.75</v>
      </c>
      <c r="C42" s="13">
        <f t="shared" si="55"/>
        <v>28.744701545979414</v>
      </c>
      <c r="D42" s="24">
        <f t="shared" si="55"/>
        <v>31</v>
      </c>
      <c r="E42" s="13">
        <f t="shared" si="55"/>
        <v>28.484779442169945</v>
      </c>
      <c r="F42" s="21">
        <f t="shared" si="55"/>
        <v>1.8870000000000002</v>
      </c>
      <c r="G42" s="24">
        <f t="shared" si="55"/>
        <v>43.75</v>
      </c>
      <c r="H42" s="13">
        <f t="shared" si="55"/>
        <v>28.75976719715777</v>
      </c>
      <c r="I42" s="24">
        <f t="shared" si="55"/>
        <v>3.25</v>
      </c>
      <c r="J42" s="13">
        <f t="shared" si="55"/>
        <v>91.78569142866225</v>
      </c>
      <c r="K42" s="24">
        <f t="shared" si="55"/>
        <v>40.75</v>
      </c>
      <c r="L42" s="13">
        <f t="shared" si="55"/>
        <v>33.53684124679248</v>
      </c>
      <c r="M42" s="13">
        <f t="shared" si="55"/>
        <v>58.943340025407565</v>
      </c>
      <c r="N42" s="13">
        <f t="shared" si="55"/>
        <v>39.39215509529711</v>
      </c>
      <c r="O42" s="13">
        <f t="shared" si="55"/>
        <v>1.3430796080345866</v>
      </c>
      <c r="P42" s="24">
        <f t="shared" si="0"/>
        <v>57.60026041737298</v>
      </c>
      <c r="Q42" s="13">
        <f aca="true" t="shared" si="56" ref="Q42:AE42">AVERAGE(Q38:Q41)</f>
        <v>0.3214252712607341</v>
      </c>
      <c r="R42" s="24">
        <f t="shared" si="56"/>
        <v>-8.25</v>
      </c>
      <c r="S42" s="13">
        <f t="shared" si="56"/>
        <v>25.15607696027648</v>
      </c>
      <c r="T42" s="24">
        <f t="shared" si="56"/>
        <v>38.5</v>
      </c>
      <c r="U42" s="13">
        <f t="shared" si="56"/>
        <v>26.33999894358196</v>
      </c>
      <c r="V42" s="21">
        <f t="shared" si="56"/>
        <v>2.0260000000000002</v>
      </c>
      <c r="W42" s="24">
        <f t="shared" si="56"/>
        <v>47.5</v>
      </c>
      <c r="X42" s="13">
        <f t="shared" si="56"/>
        <v>29.48339402761411</v>
      </c>
      <c r="Y42" s="24">
        <f t="shared" si="56"/>
        <v>2.5</v>
      </c>
      <c r="Z42" s="13">
        <f t="shared" si="56"/>
        <v>92.25</v>
      </c>
      <c r="AA42" s="24">
        <f t="shared" si="56"/>
        <v>45.25</v>
      </c>
      <c r="AB42" s="13">
        <f t="shared" si="56"/>
        <v>30.25</v>
      </c>
      <c r="AC42" s="13">
        <f t="shared" si="56"/>
        <v>59.135534360236846</v>
      </c>
      <c r="AD42" s="13">
        <f t="shared" si="56"/>
        <v>39.27623119579819</v>
      </c>
      <c r="AE42" s="13">
        <f t="shared" si="56"/>
        <v>1.2374362607549583</v>
      </c>
      <c r="AF42" s="24">
        <f t="shared" si="1"/>
        <v>57.898098099481885</v>
      </c>
      <c r="AG42" s="13">
        <f aca="true" t="shared" si="57" ref="AG42:AU42">AVERAGE(AG38:AG41)</f>
        <v>0.6007981832100024</v>
      </c>
      <c r="AH42" s="24">
        <f t="shared" si="57"/>
        <v>-5.5</v>
      </c>
      <c r="AI42" s="13">
        <f t="shared" si="57"/>
        <v>32.123706680271546</v>
      </c>
      <c r="AJ42" s="24">
        <f t="shared" si="57"/>
        <v>26.5</v>
      </c>
      <c r="AK42" s="13">
        <f t="shared" si="57"/>
        <v>30.832334242434634</v>
      </c>
      <c r="AL42" s="21">
        <f t="shared" si="57"/>
        <v>1.35</v>
      </c>
      <c r="AM42" s="24">
        <f t="shared" si="57"/>
        <v>29.75</v>
      </c>
      <c r="AN42" s="13">
        <f t="shared" si="57"/>
        <v>34</v>
      </c>
      <c r="AO42" s="24">
        <f t="shared" si="57"/>
        <v>6</v>
      </c>
      <c r="AP42" s="13">
        <f t="shared" si="57"/>
        <v>88.03552507275369</v>
      </c>
      <c r="AQ42" s="24">
        <f t="shared" si="57"/>
        <v>24.25</v>
      </c>
      <c r="AR42" s="13">
        <f t="shared" si="57"/>
        <v>36.93008813090744</v>
      </c>
      <c r="AS42" s="13">
        <f t="shared" si="57"/>
        <v>47.08715277865234</v>
      </c>
      <c r="AT42" s="13">
        <f t="shared" si="57"/>
        <v>47.43743077777882</v>
      </c>
      <c r="AU42" s="13">
        <f t="shared" si="57"/>
        <v>1.881966940188967</v>
      </c>
      <c r="AV42" s="24">
        <f t="shared" si="2"/>
        <v>45.20518583846337</v>
      </c>
      <c r="AW42" s="13">
        <f aca="true" t="shared" si="58" ref="AW42:BK42">AVERAGE(AW38:AW41)</f>
        <v>0.3434495033798729</v>
      </c>
      <c r="AX42" s="24">
        <f t="shared" si="58"/>
        <v>-6.25</v>
      </c>
      <c r="AY42" s="13">
        <f t="shared" si="58"/>
        <v>32.05533468208353</v>
      </c>
      <c r="AZ42" s="24">
        <f t="shared" si="58"/>
        <v>28.25</v>
      </c>
      <c r="BA42" s="13">
        <f t="shared" si="58"/>
        <v>28.00343858404557</v>
      </c>
      <c r="BB42" s="21">
        <f t="shared" si="58"/>
        <v>1.2055</v>
      </c>
      <c r="BC42" s="24">
        <f t="shared" si="58"/>
        <v>33.5</v>
      </c>
      <c r="BD42" s="13">
        <f t="shared" si="58"/>
        <v>29.334304099019896</v>
      </c>
      <c r="BE42" s="24">
        <f t="shared" si="58"/>
        <v>8.25</v>
      </c>
      <c r="BF42" s="13">
        <f t="shared" si="58"/>
        <v>86.11321268536268</v>
      </c>
      <c r="BG42" s="24">
        <f t="shared" si="58"/>
        <v>30.75</v>
      </c>
      <c r="BH42" s="13">
        <f t="shared" si="58"/>
        <v>32.425481809182635</v>
      </c>
      <c r="BI42" s="13">
        <f t="shared" si="58"/>
        <v>52.881617160451704</v>
      </c>
      <c r="BJ42" s="13">
        <f t="shared" si="58"/>
        <v>44.37431332756583</v>
      </c>
      <c r="BK42" s="13">
        <f t="shared" si="58"/>
        <v>2.439786343915937</v>
      </c>
      <c r="BL42" s="24">
        <f t="shared" si="3"/>
        <v>50.44183081653577</v>
      </c>
      <c r="BM42" s="13">
        <f aca="true" t="shared" si="59" ref="BM42:CA42">AVERAGE(BM38:BM41)</f>
        <v>0.5</v>
      </c>
      <c r="BN42" s="24">
        <f t="shared" si="59"/>
        <v>-3</v>
      </c>
      <c r="BO42" s="13">
        <f t="shared" si="59"/>
        <v>29.23892898615641</v>
      </c>
      <c r="BP42" s="24">
        <f t="shared" si="59"/>
        <v>28.25</v>
      </c>
      <c r="BQ42" s="13">
        <f t="shared" si="59"/>
        <v>30.76138716653895</v>
      </c>
      <c r="BR42" s="21">
        <f t="shared" si="59"/>
        <v>1.4915</v>
      </c>
      <c r="BS42" s="24">
        <f t="shared" si="59"/>
        <v>35.5</v>
      </c>
      <c r="BT42" s="13">
        <f t="shared" si="59"/>
        <v>28.909786793548843</v>
      </c>
      <c r="BU42" s="24">
        <f t="shared" si="59"/>
        <v>6.5</v>
      </c>
      <c r="BV42" s="13">
        <f t="shared" si="59"/>
        <v>91.06825566468825</v>
      </c>
      <c r="BW42" s="24">
        <f t="shared" si="59"/>
        <v>33.25</v>
      </c>
      <c r="BX42" s="13">
        <f t="shared" si="59"/>
        <v>34.3378228502406</v>
      </c>
      <c r="BY42" s="13">
        <f t="shared" si="59"/>
        <v>50.01878380877899</v>
      </c>
      <c r="BZ42" s="13">
        <f t="shared" si="59"/>
        <v>47.47121171297559</v>
      </c>
      <c r="CA42" s="13">
        <f t="shared" si="59"/>
        <v>0.9899480951929157</v>
      </c>
      <c r="CB42" s="24">
        <f t="shared" si="4"/>
        <v>49.028835713586076</v>
      </c>
      <c r="CC42" s="13">
        <f aca="true" t="shared" si="60" ref="CC42:CQ42">AVERAGE(CC38:CC41)</f>
        <v>1.25</v>
      </c>
      <c r="CD42" s="24">
        <f t="shared" si="60"/>
        <v>-17.5</v>
      </c>
      <c r="CE42" s="13">
        <f t="shared" si="60"/>
        <v>27.45959148073025</v>
      </c>
      <c r="CF42" s="24">
        <f t="shared" si="60"/>
        <v>27.75</v>
      </c>
      <c r="CG42" s="13">
        <f t="shared" si="60"/>
        <v>29.903624202699767</v>
      </c>
      <c r="CH42" s="21">
        <f t="shared" si="60"/>
        <v>1.4355</v>
      </c>
      <c r="CI42" s="24">
        <f t="shared" si="60"/>
        <v>34</v>
      </c>
      <c r="CJ42" s="13">
        <f t="shared" si="60"/>
        <v>32.60732496131193</v>
      </c>
      <c r="CK42" s="24">
        <f t="shared" si="60"/>
        <v>5.5</v>
      </c>
      <c r="CL42" s="13">
        <f t="shared" si="60"/>
        <v>90.81445586697092</v>
      </c>
      <c r="CM42" s="24">
        <f t="shared" si="60"/>
        <v>36</v>
      </c>
      <c r="CN42" s="13">
        <f t="shared" si="60"/>
        <v>36.228728303443745</v>
      </c>
      <c r="CO42" s="13">
        <f t="shared" si="60"/>
        <v>53.541748692702996</v>
      </c>
      <c r="CP42" s="13">
        <f t="shared" si="60"/>
        <v>45.06358994281508</v>
      </c>
      <c r="CQ42" s="13">
        <f t="shared" si="60"/>
        <v>1.3946613644819283</v>
      </c>
      <c r="CR42" s="24">
        <f t="shared" si="5"/>
        <v>52.14708732822107</v>
      </c>
      <c r="CS42" s="13">
        <f aca="true" t="shared" si="61" ref="CS42:DG42">AVERAGE(CS38:CS41)</f>
        <v>0</v>
      </c>
      <c r="CT42" s="24">
        <f t="shared" si="61"/>
        <v>-6.25</v>
      </c>
      <c r="CU42" s="13">
        <f t="shared" si="61"/>
        <v>28.724142550219472</v>
      </c>
      <c r="CV42" s="24">
        <f t="shared" si="61"/>
        <v>29</v>
      </c>
      <c r="CW42" s="13">
        <f t="shared" si="61"/>
        <v>30.10544951444538</v>
      </c>
      <c r="CX42" s="21">
        <f t="shared" si="61"/>
        <v>1.5952499999999998</v>
      </c>
      <c r="CY42" s="24">
        <f t="shared" si="61"/>
        <v>40.5</v>
      </c>
      <c r="CZ42" s="13">
        <f t="shared" si="61"/>
        <v>32.06126854205327</v>
      </c>
      <c r="DA42" s="24">
        <f t="shared" si="61"/>
        <v>3.5</v>
      </c>
      <c r="DB42" s="13">
        <f t="shared" si="61"/>
        <v>90.7729130106523</v>
      </c>
      <c r="DC42" s="24">
        <f t="shared" si="61"/>
        <v>38.75</v>
      </c>
      <c r="DD42" s="13">
        <f t="shared" si="61"/>
        <v>31.19095794971298</v>
      </c>
      <c r="DE42" s="13">
        <f t="shared" si="61"/>
        <v>53.35983425166005</v>
      </c>
      <c r="DF42" s="13">
        <f t="shared" si="61"/>
        <v>44.79249621091855</v>
      </c>
      <c r="DG42" s="13">
        <f t="shared" si="61"/>
        <v>1.3940417320463288</v>
      </c>
      <c r="DH42" s="24">
        <f t="shared" si="6"/>
        <v>51.96579251961372</v>
      </c>
      <c r="DI42" s="13">
        <f aca="true" t="shared" si="62" ref="DI42:DW42">AVERAGE(DI38:DI41)</f>
        <v>0.4536278053750762</v>
      </c>
      <c r="DJ42" s="24">
        <f t="shared" si="62"/>
        <v>-3.5</v>
      </c>
      <c r="DK42" s="13">
        <f t="shared" si="62"/>
        <v>35.456565373167976</v>
      </c>
      <c r="DL42" s="24">
        <f t="shared" si="62"/>
        <v>23.5</v>
      </c>
      <c r="DM42" s="13">
        <f t="shared" si="62"/>
        <v>32.52341799507521</v>
      </c>
      <c r="DN42" s="21">
        <f t="shared" si="62"/>
        <v>1.1555</v>
      </c>
      <c r="DO42" s="24">
        <f t="shared" si="62"/>
        <v>40.75</v>
      </c>
      <c r="DP42" s="13">
        <f t="shared" si="62"/>
        <v>34.41992651289781</v>
      </c>
      <c r="DQ42" s="24">
        <f t="shared" si="62"/>
        <v>7.25</v>
      </c>
      <c r="DR42" s="13">
        <f t="shared" si="62"/>
        <v>90.47556236559613</v>
      </c>
      <c r="DS42" s="24">
        <f t="shared" si="62"/>
        <v>39</v>
      </c>
      <c r="DT42" s="13">
        <f t="shared" si="62"/>
        <v>37.33967374218392</v>
      </c>
      <c r="DU42" s="13">
        <f t="shared" si="62"/>
        <v>52.74046070448446</v>
      </c>
      <c r="DV42" s="13">
        <f t="shared" si="62"/>
        <v>45.08981325611728</v>
      </c>
      <c r="DW42" s="13">
        <f t="shared" si="62"/>
        <v>1.4197260393982511</v>
      </c>
      <c r="DX42" s="24">
        <f t="shared" si="7"/>
        <v>51.32073466508621</v>
      </c>
      <c r="DY42" s="13">
        <f aca="true" t="shared" si="63" ref="DY42:EM42">AVERAGE(DY38:DY41)</f>
        <v>0.25</v>
      </c>
      <c r="DZ42" s="24">
        <f t="shared" si="63"/>
        <v>-12</v>
      </c>
      <c r="EA42" s="13">
        <f t="shared" si="63"/>
        <v>39.34150839920161</v>
      </c>
      <c r="EB42" s="24">
        <f t="shared" si="63"/>
        <v>2.75</v>
      </c>
      <c r="EC42" s="13">
        <f t="shared" si="63"/>
        <v>41.1666229460015</v>
      </c>
      <c r="ED42" s="21">
        <f t="shared" si="63"/>
        <v>-0.63</v>
      </c>
      <c r="EE42" s="24">
        <f t="shared" si="63"/>
        <v>16</v>
      </c>
      <c r="EF42" s="13">
        <f t="shared" si="63"/>
        <v>41.26217414439821</v>
      </c>
      <c r="EG42" s="24">
        <f t="shared" si="63"/>
        <v>8</v>
      </c>
      <c r="EH42" s="13">
        <f t="shared" si="63"/>
        <v>85.06216625284054</v>
      </c>
      <c r="EI42" s="24">
        <f t="shared" si="63"/>
        <v>13.5</v>
      </c>
      <c r="EJ42" s="13">
        <f t="shared" si="63"/>
        <v>42.44019779480418</v>
      </c>
      <c r="EK42" s="13">
        <f t="shared" si="63"/>
        <v>31.404663696498865</v>
      </c>
      <c r="EL42" s="13">
        <f t="shared" si="63"/>
        <v>66.08706215671354</v>
      </c>
      <c r="EM42" s="13">
        <f t="shared" si="63"/>
        <v>1.7582741467875973</v>
      </c>
      <c r="EN42" s="24">
        <f t="shared" si="8"/>
        <v>29.646389549711266</v>
      </c>
      <c r="EO42" s="13">
        <f aca="true" t="shared" si="64" ref="EO42:FC42">AVERAGE(EO38:EO41)</f>
        <v>0.75</v>
      </c>
      <c r="EP42" s="24">
        <f t="shared" si="64"/>
        <v>-8.5</v>
      </c>
      <c r="EQ42" s="13">
        <f t="shared" si="64"/>
        <v>30.517179802616123</v>
      </c>
      <c r="ER42" s="24">
        <f t="shared" si="64"/>
        <v>27</v>
      </c>
      <c r="ES42" s="13">
        <f t="shared" si="64"/>
        <v>30.557718456098392</v>
      </c>
      <c r="ET42" s="21">
        <f t="shared" si="64"/>
        <v>1.3822500000000002</v>
      </c>
      <c r="EU42" s="24">
        <f t="shared" si="64"/>
        <v>37.5</v>
      </c>
      <c r="EV42" s="13">
        <f t="shared" si="64"/>
        <v>31.572739994238976</v>
      </c>
      <c r="EW42" s="24">
        <f t="shared" si="64"/>
        <v>5.75</v>
      </c>
      <c r="EX42" s="13">
        <f t="shared" si="64"/>
        <v>89.67232977929024</v>
      </c>
      <c r="EY42" s="24">
        <f t="shared" si="64"/>
        <v>35</v>
      </c>
      <c r="EZ42" s="13">
        <f t="shared" si="64"/>
        <v>34.535239890064055</v>
      </c>
      <c r="FA42" s="13">
        <f t="shared" si="64"/>
        <v>52.51173515683211</v>
      </c>
      <c r="FB42" s="13">
        <f t="shared" si="64"/>
        <v>45.144924138731014</v>
      </c>
      <c r="FC42" s="13">
        <f t="shared" si="64"/>
        <v>1.5287667304264776</v>
      </c>
      <c r="FD42" s="24">
        <f t="shared" si="9"/>
        <v>50.982968426405634</v>
      </c>
      <c r="FE42" s="13">
        <f>AVERAGE(FE38:FE41)</f>
        <v>0.25</v>
      </c>
      <c r="FF42" s="24">
        <f aca="true" t="shared" si="65" ref="FF42:FP42">AVERAGE(FF38:FF41)</f>
        <v>-10.75</v>
      </c>
      <c r="FG42" s="13">
        <f t="shared" si="65"/>
        <v>33.08868593613959</v>
      </c>
      <c r="FH42" s="24">
        <f t="shared" si="65"/>
        <v>9.25</v>
      </c>
      <c r="FI42" s="13">
        <f t="shared" si="65"/>
        <v>30.102944831084436</v>
      </c>
      <c r="FJ42" s="21">
        <f t="shared" si="65"/>
        <v>-0.194</v>
      </c>
      <c r="FK42" s="24">
        <f t="shared" si="65"/>
        <v>25.75</v>
      </c>
      <c r="FL42" s="13">
        <f t="shared" si="65"/>
        <v>35.72048149225017</v>
      </c>
      <c r="FM42" s="24">
        <f t="shared" si="65"/>
        <v>9</v>
      </c>
      <c r="FN42" s="13">
        <f t="shared" si="65"/>
        <v>84.75</v>
      </c>
      <c r="FO42" s="24">
        <f t="shared" si="65"/>
        <v>28.502491059523642</v>
      </c>
      <c r="FP42" s="13">
        <f t="shared" si="65"/>
        <v>42.00249105952364</v>
      </c>
      <c r="FQ42" s="13">
        <f>AVERAGE(FQ38:FQ41)</f>
        <v>42.39648095731399</v>
      </c>
      <c r="FR42" s="13">
        <f>AVERAGE(FR38:FR41)</f>
        <v>52.16347033802319</v>
      </c>
      <c r="FS42" s="13">
        <f>AVERAGE(FS38:FS41)</f>
        <v>3.786853574892258</v>
      </c>
      <c r="FT42" s="13">
        <f>AVERAGE(FT38:FT41)</f>
        <v>38.609627382421735</v>
      </c>
      <c r="FU42" s="13">
        <f>AVERAGE(FU38:FU41)</f>
        <v>1.653195129770557</v>
      </c>
    </row>
    <row r="43" spans="1:177" ht="12">
      <c r="A43" s="1" t="s">
        <v>53</v>
      </c>
      <c r="B43" s="23">
        <f>10-45</f>
        <v>-35</v>
      </c>
      <c r="C43" s="8">
        <v>44.968457972039964</v>
      </c>
      <c r="D43" s="23">
        <f>21-43</f>
        <v>-22</v>
      </c>
      <c r="E43" s="8">
        <v>35.29602748368742</v>
      </c>
      <c r="F43" s="20">
        <v>-0.931</v>
      </c>
      <c r="G43" s="23">
        <f>21-9</f>
        <v>12</v>
      </c>
      <c r="H43" s="8">
        <v>70</v>
      </c>
      <c r="I43" s="23">
        <f>6-3</f>
        <v>3</v>
      </c>
      <c r="J43" s="8">
        <v>91.28377105314944</v>
      </c>
      <c r="K43" s="23">
        <f>13-13</f>
        <v>0</v>
      </c>
      <c r="L43" s="8">
        <v>73.58829048872127</v>
      </c>
      <c r="M43" s="8">
        <v>59.40610719747133</v>
      </c>
      <c r="N43" s="8">
        <v>40.37998956608457</v>
      </c>
      <c r="O43" s="8">
        <v>0.21390323644410258</v>
      </c>
      <c r="P43" s="23">
        <f t="shared" si="0"/>
        <v>59.192203961027225</v>
      </c>
      <c r="Q43" s="8">
        <v>0</v>
      </c>
      <c r="R43" s="23">
        <f>38-25</f>
        <v>13</v>
      </c>
      <c r="S43" s="8">
        <v>36.629170013398166</v>
      </c>
      <c r="T43" s="23">
        <f>51-21</f>
        <v>30</v>
      </c>
      <c r="U43" s="8">
        <v>27.964034460583832</v>
      </c>
      <c r="V43" s="113">
        <v>1.964</v>
      </c>
      <c r="W43" s="23">
        <f>22-10</f>
        <v>12</v>
      </c>
      <c r="X43" s="8">
        <v>67.95676444159413</v>
      </c>
      <c r="Y43" s="23">
        <f>28-1</f>
        <v>27</v>
      </c>
      <c r="Z43" s="8">
        <v>70.94581020493703</v>
      </c>
      <c r="AA43" s="23">
        <f>16-10</f>
        <v>6</v>
      </c>
      <c r="AB43" s="8">
        <v>73.51037701703041</v>
      </c>
      <c r="AC43" s="8">
        <v>63.4095370461247</v>
      </c>
      <c r="AD43" s="8">
        <v>35.502148633331096</v>
      </c>
      <c r="AE43" s="8">
        <v>1.08831432054421</v>
      </c>
      <c r="AF43" s="23">
        <f t="shared" si="1"/>
        <v>62.32122272558049</v>
      </c>
      <c r="AG43" s="8">
        <v>0</v>
      </c>
      <c r="AH43" s="23">
        <f>14-41</f>
        <v>-27</v>
      </c>
      <c r="AI43" s="8">
        <v>44.394840552095616</v>
      </c>
      <c r="AJ43" s="23">
        <f>27-29</f>
        <v>-2</v>
      </c>
      <c r="AK43" s="8">
        <v>44.41049089616301</v>
      </c>
      <c r="AL43" s="20">
        <v>-0.256</v>
      </c>
      <c r="AM43" s="23">
        <f>22-13</f>
        <v>9</v>
      </c>
      <c r="AN43" s="8">
        <v>64.83250730567921</v>
      </c>
      <c r="AO43" s="23">
        <f>15-1</f>
        <v>14</v>
      </c>
      <c r="AP43" s="8">
        <v>83.18814491224248</v>
      </c>
      <c r="AQ43" s="23">
        <f>13-14</f>
        <v>-1</v>
      </c>
      <c r="AR43" s="8">
        <v>72.9331854921862</v>
      </c>
      <c r="AS43" s="8">
        <v>53.95407064656974</v>
      </c>
      <c r="AT43" s="8">
        <v>45.891802507230985</v>
      </c>
      <c r="AU43" s="8">
        <v>0.15412684619927625</v>
      </c>
      <c r="AV43" s="23">
        <f t="shared" si="2"/>
        <v>53.799943800370464</v>
      </c>
      <c r="AW43" s="8">
        <v>0</v>
      </c>
      <c r="AX43" s="23">
        <f>32-32</f>
        <v>0</v>
      </c>
      <c r="AY43" s="8">
        <v>35.877926767388196</v>
      </c>
      <c r="AZ43" s="23">
        <f>42-27</f>
        <v>15</v>
      </c>
      <c r="BA43" s="8">
        <v>30.6254589813806</v>
      </c>
      <c r="BB43" s="20">
        <v>0.689</v>
      </c>
      <c r="BC43" s="23">
        <f>14-16</f>
        <v>-2</v>
      </c>
      <c r="BD43" s="8">
        <v>69.71402556054407</v>
      </c>
      <c r="BE43" s="23">
        <f>38-2</f>
        <v>36</v>
      </c>
      <c r="BF43" s="8">
        <v>60.325126714474486</v>
      </c>
      <c r="BG43" s="23">
        <f>10-17</f>
        <v>-7</v>
      </c>
      <c r="BH43" s="8">
        <v>73.10548218423072</v>
      </c>
      <c r="BI43" s="8">
        <v>55.080542727736045</v>
      </c>
      <c r="BJ43" s="8">
        <v>41.69048946944621</v>
      </c>
      <c r="BK43" s="8">
        <v>3.228967802817737</v>
      </c>
      <c r="BL43" s="23">
        <f t="shared" si="3"/>
        <v>51.85157492491831</v>
      </c>
      <c r="BM43" s="8">
        <v>0</v>
      </c>
      <c r="BN43" s="23">
        <f>10-49</f>
        <v>-39</v>
      </c>
      <c r="BO43" s="8">
        <v>41.17221975473449</v>
      </c>
      <c r="BP43" s="23">
        <f>36-22</f>
        <v>14</v>
      </c>
      <c r="BQ43" s="8">
        <v>42.48152450620824</v>
      </c>
      <c r="BR43" s="20">
        <v>1.18</v>
      </c>
      <c r="BS43" s="23">
        <f>23-15</f>
        <v>8</v>
      </c>
      <c r="BT43" s="8">
        <v>61.77000188026405</v>
      </c>
      <c r="BU43" s="23">
        <f>8-3</f>
        <v>5</v>
      </c>
      <c r="BV43" s="8">
        <v>89.24515580492168</v>
      </c>
      <c r="BW43" s="23">
        <f>20-14</f>
        <v>6</v>
      </c>
      <c r="BX43" s="8">
        <v>66.31999544680912</v>
      </c>
      <c r="BY43" s="8">
        <v>43.29092747691466</v>
      </c>
      <c r="BZ43" s="8">
        <v>53.53665622604016</v>
      </c>
      <c r="CA43" s="8">
        <v>2.7504032322788077</v>
      </c>
      <c r="CB43" s="23">
        <f t="shared" si="4"/>
        <v>40.540524244635854</v>
      </c>
      <c r="CC43" s="8">
        <v>0</v>
      </c>
      <c r="CD43" s="23">
        <f>17-46</f>
        <v>-29</v>
      </c>
      <c r="CE43" s="8">
        <v>36.905828563440636</v>
      </c>
      <c r="CF43" s="23">
        <f>29-39</f>
        <v>-10</v>
      </c>
      <c r="CG43" s="8">
        <v>31.95880921592459</v>
      </c>
      <c r="CH43" s="20">
        <v>-0.499</v>
      </c>
      <c r="CI43" s="23">
        <f>15-13</f>
        <v>2</v>
      </c>
      <c r="CJ43" s="8">
        <v>71.52811803646436</v>
      </c>
      <c r="CK43" s="23">
        <f>21-0</f>
        <v>21</v>
      </c>
      <c r="CL43" s="8">
        <v>79.3975659946026</v>
      </c>
      <c r="CM43" s="23">
        <f>13-19</f>
        <v>-6</v>
      </c>
      <c r="CN43" s="8">
        <v>68.15161941087219</v>
      </c>
      <c r="CO43" s="8">
        <v>51.60947249581712</v>
      </c>
      <c r="CP43" s="8">
        <v>48.390527504182884</v>
      </c>
      <c r="CQ43" s="8">
        <v>0</v>
      </c>
      <c r="CR43" s="23">
        <f t="shared" si="5"/>
        <v>51.60947249581712</v>
      </c>
      <c r="CS43" s="8">
        <v>0</v>
      </c>
      <c r="CT43" s="23">
        <f>11-49</f>
        <v>-38</v>
      </c>
      <c r="CU43" s="8">
        <v>40.49513397202428</v>
      </c>
      <c r="CV43" s="23">
        <f>23-41</f>
        <v>-18</v>
      </c>
      <c r="CW43" s="8">
        <v>35.45412736146534</v>
      </c>
      <c r="CX43" s="20">
        <v>-1.363</v>
      </c>
      <c r="CY43" s="23">
        <f>18-11</f>
        <v>7</v>
      </c>
      <c r="CZ43" s="8">
        <v>70.48175851491764</v>
      </c>
      <c r="DA43" s="23">
        <f>9-2</f>
        <v>7</v>
      </c>
      <c r="DB43" s="8">
        <v>88.61643439856141</v>
      </c>
      <c r="DC43" s="23">
        <f>11-14</f>
        <v>-3</v>
      </c>
      <c r="DD43" s="8">
        <v>75.22102089607709</v>
      </c>
      <c r="DE43" s="8">
        <v>47.45905472878963</v>
      </c>
      <c r="DF43" s="8">
        <v>50.75298760870427</v>
      </c>
      <c r="DG43" s="8">
        <v>1.227647875362485</v>
      </c>
      <c r="DH43" s="23">
        <f t="shared" si="6"/>
        <v>46.231406853427146</v>
      </c>
      <c r="DI43" s="8">
        <v>0.560309787143623</v>
      </c>
      <c r="DJ43" s="23">
        <f>13-53</f>
        <v>-40</v>
      </c>
      <c r="DK43" s="8">
        <v>34.717841152070726</v>
      </c>
      <c r="DL43" s="23">
        <f>42-28</f>
        <v>14</v>
      </c>
      <c r="DM43" s="8">
        <v>29.829890114091423</v>
      </c>
      <c r="DN43" s="20">
        <v>1.458</v>
      </c>
      <c r="DO43" s="23">
        <f>27-10</f>
        <v>17</v>
      </c>
      <c r="DP43" s="8">
        <v>63.314684362991514</v>
      </c>
      <c r="DQ43" s="23">
        <f>6-6</f>
        <v>0</v>
      </c>
      <c r="DR43" s="8">
        <v>88.27757948959228</v>
      </c>
      <c r="DS43" s="23">
        <f>22-11</f>
        <v>11</v>
      </c>
      <c r="DT43" s="8">
        <v>67.01663675774145</v>
      </c>
      <c r="DU43" s="8">
        <v>47.49078773120657</v>
      </c>
      <c r="DV43" s="8">
        <v>50.984647698340964</v>
      </c>
      <c r="DW43" s="8">
        <v>1.5245645704524635</v>
      </c>
      <c r="DX43" s="23">
        <f t="shared" si="7"/>
        <v>45.966223160754105</v>
      </c>
      <c r="DY43" s="8">
        <v>0</v>
      </c>
      <c r="DZ43" s="23">
        <f>8-44</f>
        <v>-36</v>
      </c>
      <c r="EA43" s="8">
        <v>48.06337709820262</v>
      </c>
      <c r="EB43" s="23">
        <f>19-33</f>
        <v>-14</v>
      </c>
      <c r="EC43" s="8">
        <v>48.12303308759794</v>
      </c>
      <c r="ED43" s="20">
        <v>-2.015</v>
      </c>
      <c r="EE43" s="23">
        <f>23-19</f>
        <v>4</v>
      </c>
      <c r="EF43" s="8">
        <v>57.935975860785845</v>
      </c>
      <c r="EG43" s="23">
        <f>13-2</f>
        <v>11</v>
      </c>
      <c r="EH43" s="8">
        <v>84.93837307231648</v>
      </c>
      <c r="EI43" s="23">
        <f>18-18</f>
        <v>0</v>
      </c>
      <c r="EJ43" s="8">
        <v>64.64400172885158</v>
      </c>
      <c r="EK43" s="8">
        <v>37.19768501889721</v>
      </c>
      <c r="EL43" s="8">
        <v>61.22433743791942</v>
      </c>
      <c r="EM43" s="8">
        <v>1.577977543183377</v>
      </c>
      <c r="EN43" s="23">
        <f t="shared" si="8"/>
        <v>35.61970747571383</v>
      </c>
      <c r="EO43" s="8">
        <v>0</v>
      </c>
      <c r="EP43" s="23">
        <f>16-43</f>
        <v>-27</v>
      </c>
      <c r="EQ43" s="8">
        <v>41.00311296730468</v>
      </c>
      <c r="ER43" s="23">
        <f>31-33</f>
        <v>-2</v>
      </c>
      <c r="ES43" s="8">
        <v>35.83632185187301</v>
      </c>
      <c r="ET43" s="20">
        <v>-0.106</v>
      </c>
      <c r="EU43" s="23">
        <f>20-12</f>
        <v>8</v>
      </c>
      <c r="EV43" s="8">
        <v>67.09353256942894</v>
      </c>
      <c r="EW43" s="23">
        <f>15-2</f>
        <v>13</v>
      </c>
      <c r="EX43" s="8">
        <v>82.48456403940253</v>
      </c>
      <c r="EY43" s="23">
        <f>15-14</f>
        <v>1</v>
      </c>
      <c r="EZ43" s="8">
        <v>71.22407640146612</v>
      </c>
      <c r="FA43" s="8">
        <v>52.57741699537352</v>
      </c>
      <c r="FB43" s="8">
        <v>46.075552462418216</v>
      </c>
      <c r="FC43" s="8">
        <v>1.2586469967282674</v>
      </c>
      <c r="FD43" s="23">
        <f t="shared" si="9"/>
        <v>51.31876999864525</v>
      </c>
      <c r="FE43" s="8">
        <v>0</v>
      </c>
      <c r="FF43" s="23">
        <f>12-44</f>
        <v>-32</v>
      </c>
      <c r="FG43" s="8">
        <v>43.87320639896642</v>
      </c>
      <c r="FH43" s="23">
        <f>19-38</f>
        <v>-19</v>
      </c>
      <c r="FI43" s="8">
        <v>43.188734385794284</v>
      </c>
      <c r="FJ43" s="20">
        <v>-2.469</v>
      </c>
      <c r="FK43" s="23">
        <f>27-17</f>
        <v>10</v>
      </c>
      <c r="FL43" s="8">
        <v>55.40163059114865</v>
      </c>
      <c r="FM43" s="23">
        <f>22-3</f>
        <v>19</v>
      </c>
      <c r="FN43" s="8">
        <v>74.87527025281817</v>
      </c>
      <c r="FO43" s="23">
        <f>20-19</f>
        <v>1</v>
      </c>
      <c r="FP43" s="8">
        <v>60.360920579424814</v>
      </c>
      <c r="FQ43" s="8">
        <v>39.28023952111091</v>
      </c>
      <c r="FR43" s="8">
        <v>56.964527429852254</v>
      </c>
      <c r="FS43" s="8">
        <v>3.4919979577663156</v>
      </c>
      <c r="FT43" s="112">
        <f t="shared" si="21"/>
        <v>35.78824156334459</v>
      </c>
      <c r="FU43" s="23">
        <v>0.2632350912705265</v>
      </c>
    </row>
    <row r="44" spans="1:177" ht="12">
      <c r="A44" s="1" t="s">
        <v>36</v>
      </c>
      <c r="B44" s="23">
        <f>17-18</f>
        <v>-1</v>
      </c>
      <c r="C44" s="8">
        <v>65.11722290793631</v>
      </c>
      <c r="D44" s="23">
        <f>39-22</f>
        <v>17</v>
      </c>
      <c r="E44" s="8">
        <v>39.09424204789246</v>
      </c>
      <c r="F44" s="20">
        <v>0.293</v>
      </c>
      <c r="G44" s="23">
        <f>45-10</f>
        <v>35</v>
      </c>
      <c r="H44" s="8">
        <v>44.99469578990995</v>
      </c>
      <c r="I44" s="23">
        <f>6-1</f>
        <v>5</v>
      </c>
      <c r="J44" s="8">
        <v>93.00404492265788</v>
      </c>
      <c r="K44" s="23">
        <f>39-12</f>
        <v>27</v>
      </c>
      <c r="L44" s="8">
        <v>48.6130218668715</v>
      </c>
      <c r="M44" s="8">
        <v>51.42586100174521</v>
      </c>
      <c r="N44" s="8">
        <v>46.7245653661953</v>
      </c>
      <c r="O44" s="8">
        <v>1.8495736320594904</v>
      </c>
      <c r="P44" s="23">
        <f t="shared" si="0"/>
        <v>49.57628736968572</v>
      </c>
      <c r="Q44" s="8">
        <v>0</v>
      </c>
      <c r="R44" s="23">
        <f>24-35</f>
        <v>-11</v>
      </c>
      <c r="S44" s="8">
        <v>40.67885092344107</v>
      </c>
      <c r="T44" s="23">
        <f>20-23</f>
        <v>-3</v>
      </c>
      <c r="U44" s="8">
        <v>57.153277872319485</v>
      </c>
      <c r="V44" s="20">
        <v>-0.713</v>
      </c>
      <c r="W44" s="23">
        <f>19-16</f>
        <v>3</v>
      </c>
      <c r="X44" s="8">
        <v>64.0745202151486</v>
      </c>
      <c r="Y44" s="23">
        <f>27-1</f>
        <v>26</v>
      </c>
      <c r="Z44" s="8">
        <v>71.73412274692068</v>
      </c>
      <c r="AA44" s="23">
        <f>14-16</f>
        <v>-2</v>
      </c>
      <c r="AB44" s="8">
        <v>69.2565717900751</v>
      </c>
      <c r="AC44" s="8">
        <v>56.563564187113776</v>
      </c>
      <c r="AD44" s="8">
        <v>40.95812519822671</v>
      </c>
      <c r="AE44" s="8">
        <v>2.406519595809517</v>
      </c>
      <c r="AF44" s="23">
        <f t="shared" si="1"/>
        <v>54.157044591304256</v>
      </c>
      <c r="AG44" s="8">
        <v>0.07179101885000087</v>
      </c>
      <c r="AH44" s="23">
        <f>19-31</f>
        <v>-12</v>
      </c>
      <c r="AI44" s="8">
        <v>50.79067380756096</v>
      </c>
      <c r="AJ44" s="23">
        <f>32-23</f>
        <v>9</v>
      </c>
      <c r="AK44" s="8">
        <v>44.802300708827175</v>
      </c>
      <c r="AL44" s="20">
        <v>0.256</v>
      </c>
      <c r="AM44" s="23">
        <f>30-16</f>
        <v>14</v>
      </c>
      <c r="AN44" s="8">
        <v>54.267213690522034</v>
      </c>
      <c r="AO44" s="23">
        <f>15-2</f>
        <v>13</v>
      </c>
      <c r="AP44" s="8">
        <v>83.52356223961111</v>
      </c>
      <c r="AQ44" s="23">
        <f>26-18</f>
        <v>8</v>
      </c>
      <c r="AR44" s="8">
        <v>56.775886077111096</v>
      </c>
      <c r="AS44" s="8">
        <v>43.01781352779769</v>
      </c>
      <c r="AT44" s="8">
        <v>53.12238704542496</v>
      </c>
      <c r="AU44" s="8">
        <v>3.859799426777345</v>
      </c>
      <c r="AV44" s="23">
        <f t="shared" si="2"/>
        <v>39.15801410102035</v>
      </c>
      <c r="AW44" s="8">
        <v>0</v>
      </c>
      <c r="AX44" s="23">
        <f>10-54</f>
        <v>-44</v>
      </c>
      <c r="AY44" s="8">
        <v>36.74723784083847</v>
      </c>
      <c r="AZ44" s="23">
        <f>7-26</f>
        <v>-19</v>
      </c>
      <c r="BA44" s="8">
        <v>66.82362086832528</v>
      </c>
      <c r="BB44" s="20">
        <v>-1.325</v>
      </c>
      <c r="BC44" s="23">
        <f>11-15</f>
        <v>-4</v>
      </c>
      <c r="BD44" s="8">
        <v>73.92182409131695</v>
      </c>
      <c r="BE44" s="23">
        <f>36-1</f>
        <v>35</v>
      </c>
      <c r="BF44" s="8">
        <v>62.78230991656465</v>
      </c>
      <c r="BG44" s="23">
        <f>8-18</f>
        <v>-10</v>
      </c>
      <c r="BH44" s="8">
        <v>73.2038118922544</v>
      </c>
      <c r="BI44" s="8">
        <v>48.860783025152884</v>
      </c>
      <c r="BJ44" s="8">
        <v>47.20540564531956</v>
      </c>
      <c r="BK44" s="8">
        <v>3.9338113295275616</v>
      </c>
      <c r="BL44" s="23">
        <f t="shared" si="3"/>
        <v>44.92697169562532</v>
      </c>
      <c r="BM44" s="8">
        <v>0</v>
      </c>
      <c r="BN44" s="23">
        <f>18-28</f>
        <v>-10</v>
      </c>
      <c r="BO44" s="8">
        <v>53.8369429880877</v>
      </c>
      <c r="BP44" s="23">
        <f>21-29</f>
        <v>-8</v>
      </c>
      <c r="BQ44" s="8">
        <v>49.750544105847744</v>
      </c>
      <c r="BR44" s="20">
        <v>-0.743</v>
      </c>
      <c r="BS44" s="23">
        <f>20-21</f>
        <v>-1</v>
      </c>
      <c r="BT44" s="8">
        <v>59.35631060859454</v>
      </c>
      <c r="BU44" s="23">
        <f>6-3</f>
        <v>3</v>
      </c>
      <c r="BV44" s="8">
        <v>91.81303825600229</v>
      </c>
      <c r="BW44" s="23">
        <f>16-24</f>
        <v>-8</v>
      </c>
      <c r="BX44" s="8">
        <v>60.15386030578935</v>
      </c>
      <c r="BY44" s="8">
        <v>57.921970466166314</v>
      </c>
      <c r="BZ44" s="8">
        <v>39.78744963908371</v>
      </c>
      <c r="CA44" s="8">
        <v>2.2905798947499787</v>
      </c>
      <c r="CB44" s="23">
        <f t="shared" si="4"/>
        <v>55.63139057141633</v>
      </c>
      <c r="CC44" s="8">
        <v>0</v>
      </c>
      <c r="CD44" s="23">
        <f>16-30</f>
        <v>-14</v>
      </c>
      <c r="CE44" s="8">
        <v>54.62197320929978</v>
      </c>
      <c r="CF44" s="23">
        <f>24-27</f>
        <v>-3</v>
      </c>
      <c r="CG44" s="8">
        <v>48.752070005262595</v>
      </c>
      <c r="CH44" s="20">
        <v>-1.173</v>
      </c>
      <c r="CI44" s="23">
        <f>34-17</f>
        <v>17</v>
      </c>
      <c r="CJ44" s="8">
        <v>48.842975121976636</v>
      </c>
      <c r="CK44" s="23">
        <f>15-0</f>
        <v>15</v>
      </c>
      <c r="CL44" s="8">
        <v>84.68664961008169</v>
      </c>
      <c r="CM44" s="23">
        <f>33-18</f>
        <v>15</v>
      </c>
      <c r="CN44" s="8">
        <v>49.325967568929144</v>
      </c>
      <c r="CO44" s="8">
        <v>47.125299403405016</v>
      </c>
      <c r="CP44" s="8">
        <v>45.943115761782515</v>
      </c>
      <c r="CQ44" s="8">
        <v>6.9315848348124725</v>
      </c>
      <c r="CR44" s="23">
        <f t="shared" si="5"/>
        <v>40.19371456859254</v>
      </c>
      <c r="CS44" s="8">
        <v>0</v>
      </c>
      <c r="CT44" s="23">
        <f>23-28</f>
        <v>-5</v>
      </c>
      <c r="CU44" s="8">
        <v>48.880278750896125</v>
      </c>
      <c r="CV44" s="23">
        <f>31-27</f>
        <v>4</v>
      </c>
      <c r="CW44" s="8">
        <v>42.02016095933783</v>
      </c>
      <c r="CX44" s="20">
        <v>-0.408</v>
      </c>
      <c r="CY44" s="23">
        <f>24-14</f>
        <v>10</v>
      </c>
      <c r="CZ44" s="8">
        <v>61.93845941256969</v>
      </c>
      <c r="DA44" s="23">
        <f>13-2</f>
        <v>11</v>
      </c>
      <c r="DB44" s="8">
        <v>85.59121849065657</v>
      </c>
      <c r="DC44" s="23">
        <f>20-19</f>
        <v>1</v>
      </c>
      <c r="DD44" s="8">
        <v>60.83863516773312</v>
      </c>
      <c r="DE44" s="8">
        <v>47.343917996459055</v>
      </c>
      <c r="DF44" s="8">
        <v>49.939287495692916</v>
      </c>
      <c r="DG44" s="8">
        <v>2.7167945078480282</v>
      </c>
      <c r="DH44" s="23">
        <f t="shared" si="6"/>
        <v>44.627123488611026</v>
      </c>
      <c r="DI44" s="8">
        <v>0</v>
      </c>
      <c r="DJ44" s="23">
        <f>12-32</f>
        <v>-20</v>
      </c>
      <c r="DK44" s="8">
        <v>56.61691607833733</v>
      </c>
      <c r="DL44" s="23">
        <f>27-26</f>
        <v>1</v>
      </c>
      <c r="DM44" s="8">
        <v>47.19347880336101</v>
      </c>
      <c r="DN44" s="20">
        <v>-0.522</v>
      </c>
      <c r="DO44" s="23">
        <f>28-19</f>
        <v>9</v>
      </c>
      <c r="DP44" s="8">
        <v>53.24029395974528</v>
      </c>
      <c r="DQ44" s="23">
        <f>17-1</f>
        <v>16</v>
      </c>
      <c r="DR44" s="8">
        <v>81.80898187843987</v>
      </c>
      <c r="DS44" s="23">
        <f>23-19</f>
        <v>4</v>
      </c>
      <c r="DT44" s="8">
        <v>57.47384950004015</v>
      </c>
      <c r="DU44" s="8">
        <v>49.22427031971214</v>
      </c>
      <c r="DV44" s="8">
        <v>47.47653743063052</v>
      </c>
      <c r="DW44" s="8">
        <v>3.2991922496573443</v>
      </c>
      <c r="DX44" s="23">
        <f t="shared" si="7"/>
        <v>45.925078070054795</v>
      </c>
      <c r="DY44" s="8">
        <v>0</v>
      </c>
      <c r="DZ44" s="23">
        <f>19-23</f>
        <v>-4</v>
      </c>
      <c r="EA44" s="8">
        <v>57.963356639852336</v>
      </c>
      <c r="EB44" s="23">
        <f>17-26</f>
        <v>-9</v>
      </c>
      <c r="EC44" s="8">
        <v>57.54965752203199</v>
      </c>
      <c r="ED44" s="20">
        <v>-1.1</v>
      </c>
      <c r="EE44" s="23">
        <f>26-24</f>
        <v>2</v>
      </c>
      <c r="EF44" s="8">
        <v>49.97740522644379</v>
      </c>
      <c r="EG44" s="23">
        <f>12-2</f>
        <v>10</v>
      </c>
      <c r="EH44" s="8">
        <v>86.28536213719379</v>
      </c>
      <c r="EI44" s="23">
        <f>17-28</f>
        <v>-11</v>
      </c>
      <c r="EJ44" s="8">
        <v>54.196606413016525</v>
      </c>
      <c r="EK44" s="8">
        <v>25.18423527996901</v>
      </c>
      <c r="EL44" s="8">
        <v>68.79292227111856</v>
      </c>
      <c r="EM44" s="8">
        <v>5.014328543289491</v>
      </c>
      <c r="EN44" s="23">
        <f t="shared" si="8"/>
        <v>20.16990673667952</v>
      </c>
      <c r="EO44" s="8">
        <v>1.0085139056229482</v>
      </c>
      <c r="EP44" s="23">
        <f>17-30</f>
        <v>-13</v>
      </c>
      <c r="EQ44" s="8">
        <v>53.274673555745366</v>
      </c>
      <c r="ER44" s="23">
        <f>26-25</f>
        <v>1</v>
      </c>
      <c r="ES44" s="8">
        <v>49.24700035331103</v>
      </c>
      <c r="ET44" s="20">
        <v>-0.472</v>
      </c>
      <c r="EU44" s="23">
        <f>29-16</f>
        <v>13</v>
      </c>
      <c r="EV44" s="8">
        <v>55.75529985038098</v>
      </c>
      <c r="EW44" s="23">
        <f>16-1</f>
        <v>15</v>
      </c>
      <c r="EX44" s="8">
        <v>83.17099269566548</v>
      </c>
      <c r="EY44" s="23">
        <f>24-18</f>
        <v>6</v>
      </c>
      <c r="EZ44" s="8">
        <v>58.03270096845961</v>
      </c>
      <c r="FA44" s="8">
        <v>48.1471079891439</v>
      </c>
      <c r="FB44" s="8">
        <v>48.54433429059018</v>
      </c>
      <c r="FC44" s="8">
        <v>3.2115676224934457</v>
      </c>
      <c r="FD44" s="23">
        <f t="shared" si="9"/>
        <v>44.93554036665045</v>
      </c>
      <c r="FE44" s="8">
        <v>0.09699009777247929</v>
      </c>
      <c r="FF44" s="23">
        <f>17-33</f>
        <v>-16</v>
      </c>
      <c r="FG44" s="8">
        <v>50.121770431311376</v>
      </c>
      <c r="FH44" s="23">
        <f>19-41</f>
        <v>-22</v>
      </c>
      <c r="FI44" s="8">
        <v>39.82158919527406</v>
      </c>
      <c r="FJ44" s="20">
        <v>-2.828</v>
      </c>
      <c r="FK44" s="23">
        <f>32-23</f>
        <v>9</v>
      </c>
      <c r="FL44" s="8">
        <v>44.7880627616356</v>
      </c>
      <c r="FM44" s="23">
        <f>19-1</f>
        <v>18</v>
      </c>
      <c r="FN44" s="8">
        <v>80.33607841354291</v>
      </c>
      <c r="FO44" s="23">
        <f>27-22</f>
        <v>5</v>
      </c>
      <c r="FP44" s="8">
        <v>51.48164098806951</v>
      </c>
      <c r="FQ44" s="8">
        <v>36.69280308549438</v>
      </c>
      <c r="FR44" s="8">
        <v>53.87415306556487</v>
      </c>
      <c r="FS44" s="8">
        <v>8.443713477680335</v>
      </c>
      <c r="FT44" s="112">
        <f t="shared" si="21"/>
        <v>28.24908960781405</v>
      </c>
      <c r="FU44" s="23">
        <v>0.9893303712604098</v>
      </c>
    </row>
    <row r="45" spans="1:177" ht="12">
      <c r="A45" s="1" t="s">
        <v>32</v>
      </c>
      <c r="B45" s="23">
        <f>27-34</f>
        <v>-7</v>
      </c>
      <c r="C45" s="8">
        <v>38.46663863355243</v>
      </c>
      <c r="D45" s="23">
        <f>34-30</f>
        <v>4</v>
      </c>
      <c r="E45" s="8">
        <v>35.5782467038176</v>
      </c>
      <c r="F45" s="20">
        <v>-0.417</v>
      </c>
      <c r="G45" s="23">
        <f>45-20</f>
        <v>25</v>
      </c>
      <c r="H45" s="8">
        <v>34.675995890072706</v>
      </c>
      <c r="I45" s="23">
        <f>11-4</f>
        <v>7</v>
      </c>
      <c r="J45" s="8">
        <v>85.57202654353026</v>
      </c>
      <c r="K45" s="23">
        <f>38-21</f>
        <v>17</v>
      </c>
      <c r="L45" s="8">
        <v>40.800441046197925</v>
      </c>
      <c r="M45" s="8">
        <v>31.46301569510232</v>
      </c>
      <c r="N45" s="8">
        <v>67.36214155376213</v>
      </c>
      <c r="O45" s="8">
        <v>0.946557824044569</v>
      </c>
      <c r="P45" s="23">
        <f t="shared" si="0"/>
        <v>30.516457871057753</v>
      </c>
      <c r="Q45" s="8">
        <v>0.22828492709098822</v>
      </c>
      <c r="R45" s="23">
        <f>14-42</f>
        <v>-28</v>
      </c>
      <c r="S45" s="8">
        <v>43.80938759480084</v>
      </c>
      <c r="T45" s="23">
        <f>38-28</f>
        <v>10</v>
      </c>
      <c r="U45" s="8">
        <v>34.366998823967485</v>
      </c>
      <c r="V45" s="20">
        <v>-0.677</v>
      </c>
      <c r="W45" s="23">
        <f>30-36</f>
        <v>-6</v>
      </c>
      <c r="X45" s="8">
        <v>34.22815514054602</v>
      </c>
      <c r="Y45" s="23">
        <f>10-3</f>
        <v>7</v>
      </c>
      <c r="Z45" s="8">
        <v>86.99805192781885</v>
      </c>
      <c r="AA45" s="23">
        <f>27-33</f>
        <v>-6</v>
      </c>
      <c r="AB45" s="8">
        <v>39.667170447868024</v>
      </c>
      <c r="AC45" s="8">
        <v>32.255931947196494</v>
      </c>
      <c r="AD45" s="8">
        <v>65.9862172716364</v>
      </c>
      <c r="AE45" s="8">
        <v>1.3635147375919363</v>
      </c>
      <c r="AF45" s="23">
        <f t="shared" si="1"/>
        <v>30.89241720960456</v>
      </c>
      <c r="AG45" s="8">
        <v>0.3943360435751669</v>
      </c>
      <c r="AH45" s="23">
        <f>23-37</f>
        <v>-14</v>
      </c>
      <c r="AI45" s="8">
        <v>39.201161678438474</v>
      </c>
      <c r="AJ45" s="23">
        <f>33-32</f>
        <v>1</v>
      </c>
      <c r="AK45" s="8">
        <v>34.94248300036343</v>
      </c>
      <c r="AL45" s="20">
        <v>-0.784</v>
      </c>
      <c r="AM45" s="23">
        <f>39-23</f>
        <v>16</v>
      </c>
      <c r="AN45" s="8">
        <v>37.92796761430882</v>
      </c>
      <c r="AO45" s="23">
        <f>12-4</f>
        <v>8</v>
      </c>
      <c r="AP45" s="8">
        <v>84.72013426410153</v>
      </c>
      <c r="AQ45" s="23">
        <f>32-20</f>
        <v>12</v>
      </c>
      <c r="AR45" s="8">
        <v>47.74707672705876</v>
      </c>
      <c r="AS45" s="8">
        <v>22.612941228010683</v>
      </c>
      <c r="AT45" s="8">
        <v>72.31013239964555</v>
      </c>
      <c r="AU45" s="8">
        <v>2.109270951703702</v>
      </c>
      <c r="AV45" s="23">
        <f t="shared" si="2"/>
        <v>20.50367027630698</v>
      </c>
      <c r="AW45" s="8">
        <v>2.9676554206400563</v>
      </c>
      <c r="AX45" s="23">
        <f>9-54</f>
        <v>-45</v>
      </c>
      <c r="AY45" s="8">
        <v>36.08942989785844</v>
      </c>
      <c r="AZ45" s="23">
        <f>39-29</f>
        <v>10</v>
      </c>
      <c r="BA45" s="8">
        <v>32.0952208262445</v>
      </c>
      <c r="BB45" s="20">
        <v>-0.527</v>
      </c>
      <c r="BC45" s="23">
        <f>24-40</f>
        <v>-16</v>
      </c>
      <c r="BD45" s="8">
        <v>35.14637328522656</v>
      </c>
      <c r="BE45" s="23">
        <f>12-4</f>
        <v>8</v>
      </c>
      <c r="BF45" s="8">
        <v>84.06250475383523</v>
      </c>
      <c r="BG45" s="23">
        <f>19-41</f>
        <v>-22</v>
      </c>
      <c r="BH45" s="8">
        <v>40.129040853079914</v>
      </c>
      <c r="BI45" s="8">
        <v>15.69817467237752</v>
      </c>
      <c r="BJ45" s="8">
        <v>79.23531717809402</v>
      </c>
      <c r="BK45" s="8">
        <v>4.728407763036134</v>
      </c>
      <c r="BL45" s="23">
        <f t="shared" si="3"/>
        <v>10.969766909341388</v>
      </c>
      <c r="BM45" s="8">
        <v>0.3381003864923274</v>
      </c>
      <c r="BN45" s="23">
        <f>27-32</f>
        <v>-5</v>
      </c>
      <c r="BO45" s="8">
        <v>40.64128369916024</v>
      </c>
      <c r="BP45" s="23">
        <f>37-26</f>
        <v>11</v>
      </c>
      <c r="BQ45" s="8">
        <v>36.631830241537024</v>
      </c>
      <c r="BR45" s="20">
        <v>-0.267</v>
      </c>
      <c r="BS45" s="23">
        <f>47-15</f>
        <v>32</v>
      </c>
      <c r="BT45" s="8">
        <v>37.379577286606796</v>
      </c>
      <c r="BU45" s="23">
        <f>6-2</f>
        <v>4</v>
      </c>
      <c r="BV45" s="8">
        <v>91.45672257893264</v>
      </c>
      <c r="BW45" s="23">
        <f>40-14</f>
        <v>26</v>
      </c>
      <c r="BX45" s="8">
        <v>45.84525857745085</v>
      </c>
      <c r="BY45" s="8">
        <v>26.739572217216452</v>
      </c>
      <c r="BZ45" s="8">
        <v>70.0762531397961</v>
      </c>
      <c r="CA45" s="8">
        <v>2.9280054394506343</v>
      </c>
      <c r="CB45" s="23">
        <f t="shared" si="4"/>
        <v>23.81156677776582</v>
      </c>
      <c r="CC45" s="8">
        <v>0.25616920353682454</v>
      </c>
      <c r="CD45" s="23">
        <f>21-28</f>
        <v>-7</v>
      </c>
      <c r="CE45" s="8">
        <v>50.294999520327586</v>
      </c>
      <c r="CF45" s="23">
        <f>27-29</f>
        <v>-2</v>
      </c>
      <c r="CG45" s="8">
        <v>43.751613382943894</v>
      </c>
      <c r="CH45" s="20">
        <v>-0.917</v>
      </c>
      <c r="CI45" s="23">
        <f>48-23</f>
        <v>25</v>
      </c>
      <c r="CJ45" s="8">
        <v>29.549012177449118</v>
      </c>
      <c r="CK45" s="23">
        <f>5-1</f>
        <v>4</v>
      </c>
      <c r="CL45" s="8">
        <v>94.16847355238723</v>
      </c>
      <c r="CM45" s="23">
        <f>34-25</f>
        <v>9</v>
      </c>
      <c r="CN45" s="8">
        <v>40.69061955702953</v>
      </c>
      <c r="CO45" s="8">
        <v>34.8694912527964</v>
      </c>
      <c r="CP45" s="8">
        <v>64.92037225595325</v>
      </c>
      <c r="CQ45" s="8">
        <v>0.21013649125035308</v>
      </c>
      <c r="CR45" s="23">
        <f t="shared" si="5"/>
        <v>34.65935476154605</v>
      </c>
      <c r="CS45" s="8">
        <v>0</v>
      </c>
      <c r="CT45" s="23">
        <f>22-37</f>
        <v>-15</v>
      </c>
      <c r="CU45" s="8">
        <v>41.388651833593855</v>
      </c>
      <c r="CV45" s="23">
        <f>29-37</f>
        <v>-8</v>
      </c>
      <c r="CW45" s="8">
        <v>34.18472555512012</v>
      </c>
      <c r="CX45" s="20">
        <v>-1.448</v>
      </c>
      <c r="CY45" s="23">
        <f>46-21</f>
        <v>25</v>
      </c>
      <c r="CZ45" s="8">
        <v>33.20529485574193</v>
      </c>
      <c r="DA45" s="23">
        <f>12-4</f>
        <v>8</v>
      </c>
      <c r="DB45" s="8">
        <v>84.05386122863014</v>
      </c>
      <c r="DC45" s="23">
        <f>38-23</f>
        <v>15</v>
      </c>
      <c r="DD45" s="8">
        <v>39.25825766275957</v>
      </c>
      <c r="DE45" s="8">
        <v>34.98882981725682</v>
      </c>
      <c r="DF45" s="8">
        <v>61.008571873031535</v>
      </c>
      <c r="DG45" s="8">
        <v>3.654704295089833</v>
      </c>
      <c r="DH45" s="23">
        <f t="shared" si="6"/>
        <v>31.33412552216699</v>
      </c>
      <c r="DI45" s="8">
        <v>0.3478940146218082</v>
      </c>
      <c r="DJ45" s="23">
        <f>35-28</f>
        <v>7</v>
      </c>
      <c r="DK45" s="8">
        <v>37.19209200200089</v>
      </c>
      <c r="DL45" s="23">
        <f>37-29</f>
        <v>8</v>
      </c>
      <c r="DM45" s="8">
        <v>33.98738126623237</v>
      </c>
      <c r="DN45" s="20">
        <v>-0.879</v>
      </c>
      <c r="DO45" s="23">
        <f>53-13</f>
        <v>40</v>
      </c>
      <c r="DP45" s="8">
        <v>33.60722234289386</v>
      </c>
      <c r="DQ45" s="23">
        <f>13-4</f>
        <v>9</v>
      </c>
      <c r="DR45" s="8">
        <v>83.09198818312359</v>
      </c>
      <c r="DS45" s="23">
        <f>24-12</f>
        <v>12</v>
      </c>
      <c r="DT45" s="8">
        <v>63.91297181631318</v>
      </c>
      <c r="DU45" s="8">
        <v>43.2092759384969</v>
      </c>
      <c r="DV45" s="8">
        <v>53.48468838231594</v>
      </c>
      <c r="DW45" s="8">
        <v>2.855000501661646</v>
      </c>
      <c r="DX45" s="23">
        <f t="shared" si="7"/>
        <v>40.35427543683525</v>
      </c>
      <c r="DY45" s="8">
        <v>0.4510351775255115</v>
      </c>
      <c r="DZ45" s="23">
        <f>15-33</f>
        <v>-18</v>
      </c>
      <c r="EA45" s="8">
        <v>51.93773798541991</v>
      </c>
      <c r="EB45" s="23">
        <f>14-41</f>
        <v>-27</v>
      </c>
      <c r="EC45" s="8">
        <v>45.22950032853115</v>
      </c>
      <c r="ED45" s="20">
        <v>-2.888</v>
      </c>
      <c r="EE45" s="23">
        <f>38-19</f>
        <v>19</v>
      </c>
      <c r="EF45" s="8">
        <v>43.51799204188057</v>
      </c>
      <c r="EG45" s="23">
        <f>11-6</f>
        <v>5</v>
      </c>
      <c r="EH45" s="8">
        <v>82.92817718036251</v>
      </c>
      <c r="EI45" s="23">
        <f>27-18</f>
        <v>9</v>
      </c>
      <c r="EJ45" s="8">
        <v>54.61076370346996</v>
      </c>
      <c r="EK45" s="8">
        <v>20.399623131999167</v>
      </c>
      <c r="EL45" s="8">
        <v>75.3726815151985</v>
      </c>
      <c r="EM45" s="8">
        <v>3.4077818410461944</v>
      </c>
      <c r="EN45" s="23">
        <f t="shared" si="8"/>
        <v>16.991841290952973</v>
      </c>
      <c r="EO45" s="8">
        <v>0.8199135117561521</v>
      </c>
      <c r="EP45" s="23">
        <f>22-37</f>
        <v>-15</v>
      </c>
      <c r="EQ45" s="8">
        <v>40.91921966170652</v>
      </c>
      <c r="ER45" s="23">
        <f>33-31</f>
        <v>2</v>
      </c>
      <c r="ES45" s="8">
        <v>36.114589296551195</v>
      </c>
      <c r="ET45" s="20">
        <v>-0.864</v>
      </c>
      <c r="EU45" s="23">
        <f>41-24</f>
        <v>17</v>
      </c>
      <c r="EV45" s="8">
        <v>35.45112195758334</v>
      </c>
      <c r="EW45" s="23">
        <f>11-4</f>
        <v>7</v>
      </c>
      <c r="EX45" s="8">
        <v>85.83367429996235</v>
      </c>
      <c r="EY45" s="23">
        <f>32-24</f>
        <v>8</v>
      </c>
      <c r="EZ45" s="8">
        <v>44.87731087676336</v>
      </c>
      <c r="FA45" s="8">
        <v>28.784793723572893</v>
      </c>
      <c r="FB45" s="8">
        <v>68.26482944827816</v>
      </c>
      <c r="FC45" s="8">
        <v>2.3942585164622088</v>
      </c>
      <c r="FD45" s="23">
        <f t="shared" si="9"/>
        <v>26.390535207110684</v>
      </c>
      <c r="FE45" s="8">
        <v>0.5561183116867366</v>
      </c>
      <c r="FF45" s="23">
        <f>21-31</f>
        <v>-10</v>
      </c>
      <c r="FG45" s="8">
        <v>47.39386342409283</v>
      </c>
      <c r="FH45" s="23">
        <f>21-37</f>
        <v>-16</v>
      </c>
      <c r="FI45" s="8">
        <v>42.0258266476073</v>
      </c>
      <c r="FJ45" s="20">
        <v>-3.262</v>
      </c>
      <c r="FK45" s="23">
        <f>38-20</f>
        <v>18</v>
      </c>
      <c r="FL45" s="8">
        <v>41.60673374850954</v>
      </c>
      <c r="FM45" s="23">
        <f>14-3</f>
        <v>11</v>
      </c>
      <c r="FN45" s="8">
        <v>83.13273927238907</v>
      </c>
      <c r="FO45" s="23">
        <f>31-20</f>
        <v>11</v>
      </c>
      <c r="FP45" s="8">
        <v>49.13088919145841</v>
      </c>
      <c r="FQ45" s="8">
        <v>32.00027811792955</v>
      </c>
      <c r="FR45" s="8">
        <v>64.68527481600877</v>
      </c>
      <c r="FS45" s="8">
        <v>1.9904783239443617</v>
      </c>
      <c r="FT45" s="112">
        <f t="shared" si="21"/>
        <v>30.009799793985184</v>
      </c>
      <c r="FU45" s="23">
        <v>1.323968742117322</v>
      </c>
    </row>
    <row r="46" spans="1:177" ht="12">
      <c r="A46" s="1" t="s">
        <v>33</v>
      </c>
      <c r="B46" s="23">
        <f>42-24</f>
        <v>18</v>
      </c>
      <c r="C46" s="8">
        <v>33.46828436891927</v>
      </c>
      <c r="D46" s="23">
        <f>38-27</f>
        <v>11</v>
      </c>
      <c r="E46" s="8">
        <v>34.61749251720067</v>
      </c>
      <c r="F46" s="20">
        <v>-0.533</v>
      </c>
      <c r="G46" s="23">
        <f>12-47</f>
        <v>-35</v>
      </c>
      <c r="H46" s="8">
        <v>40.33827366786359</v>
      </c>
      <c r="I46" s="23">
        <f>5-23</f>
        <v>-18</v>
      </c>
      <c r="J46" s="8">
        <v>72.80350088632204</v>
      </c>
      <c r="K46" s="23">
        <f>7-38</f>
        <v>-31</v>
      </c>
      <c r="L46" s="8">
        <v>54.822281066712705</v>
      </c>
      <c r="M46" s="8">
        <v>24.148516638504585</v>
      </c>
      <c r="N46" s="8">
        <v>74.26583996180632</v>
      </c>
      <c r="O46" s="8">
        <v>0.09268522739284908</v>
      </c>
      <c r="P46" s="23">
        <f t="shared" si="0"/>
        <v>24.055831411111736</v>
      </c>
      <c r="Q46" s="8">
        <v>1.492958172296241</v>
      </c>
      <c r="R46" s="23">
        <f>19-46</f>
        <v>-27</v>
      </c>
      <c r="S46" s="8">
        <v>34.294698746717685</v>
      </c>
      <c r="T46" s="23">
        <f>16-50</f>
        <v>-34</v>
      </c>
      <c r="U46" s="8">
        <v>34.88609546847131</v>
      </c>
      <c r="V46" s="20">
        <v>-2.004</v>
      </c>
      <c r="W46" s="23">
        <f>15-25</f>
        <v>-10</v>
      </c>
      <c r="X46" s="8">
        <v>60.34075121424001</v>
      </c>
      <c r="Y46" s="23">
        <f>7-6</f>
        <v>1</v>
      </c>
      <c r="Z46" s="8">
        <v>86.31403444855263</v>
      </c>
      <c r="AA46" s="23">
        <f>6-22</f>
        <v>-16</v>
      </c>
      <c r="AB46" s="8">
        <v>72.1974463001942</v>
      </c>
      <c r="AC46" s="8">
        <v>18.95178812730156</v>
      </c>
      <c r="AD46" s="8">
        <v>79.01896289333908</v>
      </c>
      <c r="AE46" s="8">
        <v>1.0921519074713881</v>
      </c>
      <c r="AF46" s="23">
        <f t="shared" si="1"/>
        <v>17.859636219830172</v>
      </c>
      <c r="AG46" s="8">
        <v>0.937097071887983</v>
      </c>
      <c r="AH46" s="23">
        <f>37-33</f>
        <v>4</v>
      </c>
      <c r="AI46" s="8">
        <v>30.675972806315183</v>
      </c>
      <c r="AJ46" s="23">
        <f>25-40</f>
        <v>-15</v>
      </c>
      <c r="AK46" s="8">
        <v>34.47883874901308</v>
      </c>
      <c r="AL46" s="20">
        <v>-1.376</v>
      </c>
      <c r="AM46" s="23">
        <f>10-33</f>
        <v>-23</v>
      </c>
      <c r="AN46" s="8">
        <v>56.710907982582626</v>
      </c>
      <c r="AO46" s="23">
        <f>6-10</f>
        <v>-4</v>
      </c>
      <c r="AP46" s="8">
        <v>83.86825477791159</v>
      </c>
      <c r="AQ46" s="23">
        <f>8-30</f>
        <v>-22</v>
      </c>
      <c r="AR46" s="8">
        <v>61.811759548028334</v>
      </c>
      <c r="AS46" s="8">
        <v>17.993485742104546</v>
      </c>
      <c r="AT46" s="8">
        <v>80.07949837562872</v>
      </c>
      <c r="AU46" s="8">
        <v>0.7781301061498845</v>
      </c>
      <c r="AV46" s="23">
        <f t="shared" si="2"/>
        <v>17.215355635954662</v>
      </c>
      <c r="AW46" s="8">
        <v>1.1488857761168523</v>
      </c>
      <c r="AX46" s="23">
        <f>13-58</f>
        <v>-45</v>
      </c>
      <c r="AY46" s="8">
        <v>28.848076323296013</v>
      </c>
      <c r="AZ46" s="23">
        <f>10-60</f>
        <v>-50</v>
      </c>
      <c r="BA46" s="8">
        <v>30.399648977499837</v>
      </c>
      <c r="BB46" s="20">
        <v>-3.064</v>
      </c>
      <c r="BC46" s="23">
        <f>10-20</f>
        <v>-10</v>
      </c>
      <c r="BD46" s="8">
        <v>69.88726648716118</v>
      </c>
      <c r="BE46" s="23">
        <f>10-4</f>
        <v>6</v>
      </c>
      <c r="BF46" s="8">
        <v>85.62917919859423</v>
      </c>
      <c r="BG46" s="23">
        <f>6-25</f>
        <v>-19</v>
      </c>
      <c r="BH46" s="8">
        <v>68.939822082613</v>
      </c>
      <c r="BI46" s="8">
        <v>11.735180833202945</v>
      </c>
      <c r="BJ46" s="8">
        <v>82.63081926957108</v>
      </c>
      <c r="BK46" s="8">
        <v>4.6251247706564325</v>
      </c>
      <c r="BL46" s="23">
        <f t="shared" si="3"/>
        <v>7.110056062546512</v>
      </c>
      <c r="BM46" s="8">
        <v>1.0088751265695466</v>
      </c>
      <c r="BN46" s="23">
        <f>35-29</f>
        <v>6</v>
      </c>
      <c r="BO46" s="8">
        <v>36.887886388568226</v>
      </c>
      <c r="BP46" s="23">
        <f>33-34</f>
        <v>-1</v>
      </c>
      <c r="BQ46" s="8">
        <v>32.90707717831574</v>
      </c>
      <c r="BR46" s="20">
        <v>-1.215</v>
      </c>
      <c r="BS46" s="23">
        <f>12-36</f>
        <v>-24</v>
      </c>
      <c r="BT46" s="8">
        <v>52.18680748728425</v>
      </c>
      <c r="BU46" s="23">
        <f>9-10</f>
        <v>-1</v>
      </c>
      <c r="BV46" s="8">
        <v>80.53772784741216</v>
      </c>
      <c r="BW46" s="23">
        <f>8-34</f>
        <v>-26</v>
      </c>
      <c r="BX46" s="8">
        <v>58.20040763576223</v>
      </c>
      <c r="BY46" s="8">
        <v>17.49393216435179</v>
      </c>
      <c r="BZ46" s="8">
        <v>79.70545894909745</v>
      </c>
      <c r="CA46" s="8">
        <v>1.1611984409905656</v>
      </c>
      <c r="CB46" s="23">
        <f t="shared" si="4"/>
        <v>16.332733723361223</v>
      </c>
      <c r="CC46" s="8">
        <v>1.6394104455602003</v>
      </c>
      <c r="CD46" s="23">
        <f>37-32</f>
        <v>5</v>
      </c>
      <c r="CE46" s="8">
        <v>31.254773550530707</v>
      </c>
      <c r="CF46" s="23">
        <f>30-34</f>
        <v>-4</v>
      </c>
      <c r="CG46" s="8">
        <v>35.87829473813887</v>
      </c>
      <c r="CH46" s="20">
        <v>-1.165</v>
      </c>
      <c r="CI46" s="23">
        <f>15-27</f>
        <v>-12</v>
      </c>
      <c r="CJ46" s="8">
        <v>58.02984696128631</v>
      </c>
      <c r="CK46" s="23">
        <f>1-13</f>
        <v>-12</v>
      </c>
      <c r="CL46" s="8">
        <v>86.12693904204991</v>
      </c>
      <c r="CM46" s="23">
        <f>10-27</f>
        <v>-17</v>
      </c>
      <c r="CN46" s="8">
        <v>63.0320963868171</v>
      </c>
      <c r="CO46" s="8">
        <v>20.679191881299296</v>
      </c>
      <c r="CP46" s="8">
        <v>76.58898754994074</v>
      </c>
      <c r="CQ46" s="8">
        <v>2.085217006044254</v>
      </c>
      <c r="CR46" s="23">
        <f t="shared" si="5"/>
        <v>18.593974875255043</v>
      </c>
      <c r="CS46" s="8">
        <v>0.6466035627157073</v>
      </c>
      <c r="CT46" s="23">
        <f>37-29</f>
        <v>8</v>
      </c>
      <c r="CU46" s="8">
        <v>34.02441450606959</v>
      </c>
      <c r="CV46" s="23">
        <f>37-28</f>
        <v>9</v>
      </c>
      <c r="CW46" s="8">
        <v>34.86470687447094</v>
      </c>
      <c r="CX46" s="20">
        <v>-0.246</v>
      </c>
      <c r="CY46" s="23">
        <f>16-40</f>
        <v>-24</v>
      </c>
      <c r="CZ46" s="8">
        <v>44.224053920444895</v>
      </c>
      <c r="DA46" s="23">
        <f>10-16</f>
        <v>-6</v>
      </c>
      <c r="DB46" s="8">
        <v>73.88485176630186</v>
      </c>
      <c r="DC46" s="23">
        <f>9-39</f>
        <v>-30</v>
      </c>
      <c r="DD46" s="8">
        <v>52.8297308475408</v>
      </c>
      <c r="DE46" s="8">
        <v>25.185485220666532</v>
      </c>
      <c r="DF46" s="8">
        <v>72.48450043612219</v>
      </c>
      <c r="DG46" s="8">
        <v>1.290188095563202</v>
      </c>
      <c r="DH46" s="23">
        <f t="shared" si="6"/>
        <v>23.89529712510333</v>
      </c>
      <c r="DI46" s="8">
        <v>1.0398262476480753</v>
      </c>
      <c r="DJ46" s="23">
        <f>48-24</f>
        <v>24</v>
      </c>
      <c r="DK46" s="8">
        <v>27.43937786978287</v>
      </c>
      <c r="DL46" s="23">
        <f>20-47</f>
        <v>-27</v>
      </c>
      <c r="DM46" s="8">
        <v>33.13069499649673</v>
      </c>
      <c r="DN46" s="20">
        <v>-1.869</v>
      </c>
      <c r="DO46" s="23">
        <f>15-44</f>
        <v>-29</v>
      </c>
      <c r="DP46" s="8">
        <v>40.27608738254493</v>
      </c>
      <c r="DQ46" s="23">
        <f>10-1</f>
        <v>9</v>
      </c>
      <c r="DR46" s="8">
        <v>88.83267820592654</v>
      </c>
      <c r="DS46" s="23">
        <f>12-45</f>
        <v>-33</v>
      </c>
      <c r="DT46" s="8">
        <v>43.251395560501635</v>
      </c>
      <c r="DU46" s="8">
        <v>35.35992523335187</v>
      </c>
      <c r="DV46" s="8">
        <v>61.82647040577819</v>
      </c>
      <c r="DW46" s="8">
        <v>2.374531121993452</v>
      </c>
      <c r="DX46" s="23">
        <f t="shared" si="7"/>
        <v>32.985394111358424</v>
      </c>
      <c r="DY46" s="8">
        <v>0.4390732388764823</v>
      </c>
      <c r="DZ46" s="23">
        <f>19-36</f>
        <v>-17</v>
      </c>
      <c r="EA46" s="8">
        <v>44.89953131718485</v>
      </c>
      <c r="EB46" s="23">
        <f>17-41</f>
        <v>-24</v>
      </c>
      <c r="EC46" s="8">
        <v>42.11775943565066</v>
      </c>
      <c r="ED46" s="20">
        <v>-2.689</v>
      </c>
      <c r="EE46" s="23">
        <f>14-31</f>
        <v>-17</v>
      </c>
      <c r="EF46" s="8">
        <v>54.75217349742182</v>
      </c>
      <c r="EG46" s="23">
        <f>10-5</f>
        <v>5</v>
      </c>
      <c r="EH46" s="8">
        <v>84.67490198251546</v>
      </c>
      <c r="EI46" s="23">
        <f>11-33</f>
        <v>-22</v>
      </c>
      <c r="EJ46" s="8">
        <v>55.99771087839688</v>
      </c>
      <c r="EK46" s="8">
        <v>18.097984387545612</v>
      </c>
      <c r="EL46" s="8">
        <v>77.06004086959514</v>
      </c>
      <c r="EM46" s="8">
        <v>2.7815288728448255</v>
      </c>
      <c r="EN46" s="23">
        <f t="shared" si="8"/>
        <v>15.316455514700786</v>
      </c>
      <c r="EO46" s="8">
        <v>2.0604458700144193</v>
      </c>
      <c r="EP46" s="23">
        <f>33-34</f>
        <v>-1</v>
      </c>
      <c r="EQ46" s="8">
        <v>33.32615346045146</v>
      </c>
      <c r="ER46" s="23">
        <f>26-39</f>
        <v>-13</v>
      </c>
      <c r="ES46" s="8">
        <v>34.516500258955936</v>
      </c>
      <c r="ET46" s="20">
        <v>-1.478</v>
      </c>
      <c r="EU46" s="23">
        <f>13-36</f>
        <v>-23</v>
      </c>
      <c r="EV46" s="8">
        <v>51.34586589396057</v>
      </c>
      <c r="EW46" s="23">
        <f>8-12</f>
        <v>-4</v>
      </c>
      <c r="EX46" s="8">
        <v>80.83813732890597</v>
      </c>
      <c r="EY46" s="23">
        <f>8-33</f>
        <v>-25</v>
      </c>
      <c r="EZ46" s="8">
        <v>58.5037217026121</v>
      </c>
      <c r="FA46" s="8">
        <v>21.247688124139504</v>
      </c>
      <c r="FB46" s="8">
        <v>75.8701894652144</v>
      </c>
      <c r="FC46" s="8">
        <v>1.6621533546984486</v>
      </c>
      <c r="FD46" s="23">
        <f t="shared" si="9"/>
        <v>19.585534769441054</v>
      </c>
      <c r="FE46" s="8">
        <v>1.219969055947659</v>
      </c>
      <c r="FF46" s="23">
        <f>27-28</f>
        <v>-1</v>
      </c>
      <c r="FG46" s="8">
        <v>44.78269670438983</v>
      </c>
      <c r="FH46" s="23">
        <f>22-36</f>
        <v>-14</v>
      </c>
      <c r="FI46" s="8">
        <v>42.08028105210941</v>
      </c>
      <c r="FJ46" s="20">
        <v>-1.488</v>
      </c>
      <c r="FK46" s="23">
        <f>14-30</f>
        <v>-16</v>
      </c>
      <c r="FL46" s="8">
        <v>56.553931600380125</v>
      </c>
      <c r="FM46" s="23">
        <f>8-5</f>
        <v>3</v>
      </c>
      <c r="FN46" s="8">
        <v>87.055026864492</v>
      </c>
      <c r="FO46" s="23">
        <f>7-22</f>
        <v>-15</v>
      </c>
      <c r="FP46" s="8">
        <v>71.07707608693734</v>
      </c>
      <c r="FQ46" s="8">
        <v>22.40046592856717</v>
      </c>
      <c r="FR46" s="8">
        <v>75.3961432631789</v>
      </c>
      <c r="FS46" s="8">
        <v>1.9501454236781834</v>
      </c>
      <c r="FT46" s="112">
        <f t="shared" si="21"/>
        <v>20.450320504888985</v>
      </c>
      <c r="FU46" s="23">
        <v>0.2532453845757573</v>
      </c>
    </row>
    <row r="47" spans="1:177" ht="12">
      <c r="A47" s="1" t="s">
        <v>9</v>
      </c>
      <c r="B47" s="24">
        <f aca="true" t="shared" si="66" ref="B47:O47">AVERAGE(B43:B46)</f>
        <v>-6.25</v>
      </c>
      <c r="C47" s="13">
        <f t="shared" si="66"/>
        <v>45.50515097061199</v>
      </c>
      <c r="D47" s="24">
        <f t="shared" si="66"/>
        <v>2.5</v>
      </c>
      <c r="E47" s="13">
        <f t="shared" si="66"/>
        <v>36.14650218814953</v>
      </c>
      <c r="F47" s="21">
        <f t="shared" si="66"/>
        <v>-0.397</v>
      </c>
      <c r="G47" s="24">
        <f t="shared" si="66"/>
        <v>9.25</v>
      </c>
      <c r="H47" s="13">
        <f t="shared" si="66"/>
        <v>47.50224133696156</v>
      </c>
      <c r="I47" s="24">
        <f t="shared" si="66"/>
        <v>-0.75</v>
      </c>
      <c r="J47" s="13">
        <f t="shared" si="66"/>
        <v>85.6658358514149</v>
      </c>
      <c r="K47" s="24">
        <f t="shared" si="66"/>
        <v>3.25</v>
      </c>
      <c r="L47" s="13">
        <f t="shared" si="66"/>
        <v>54.456008617125846</v>
      </c>
      <c r="M47" s="13">
        <f t="shared" si="66"/>
        <v>41.61087513320586</v>
      </c>
      <c r="N47" s="13">
        <f t="shared" si="66"/>
        <v>57.183134111962076</v>
      </c>
      <c r="O47" s="13">
        <f t="shared" si="66"/>
        <v>0.7756799799852527</v>
      </c>
      <c r="P47" s="24">
        <f t="shared" si="0"/>
        <v>40.8351951532206</v>
      </c>
      <c r="Q47" s="13">
        <f aca="true" t="shared" si="67" ref="Q47:AE47">AVERAGE(Q43:Q46)</f>
        <v>0.4303107748468073</v>
      </c>
      <c r="R47" s="24">
        <f t="shared" si="67"/>
        <v>-13.25</v>
      </c>
      <c r="S47" s="13">
        <f t="shared" si="67"/>
        <v>38.85302681958944</v>
      </c>
      <c r="T47" s="24">
        <f t="shared" si="67"/>
        <v>0.75</v>
      </c>
      <c r="U47" s="13">
        <f t="shared" si="67"/>
        <v>38.59260165633553</v>
      </c>
      <c r="V47" s="21">
        <f t="shared" si="67"/>
        <v>-0.35750000000000004</v>
      </c>
      <c r="W47" s="24">
        <f t="shared" si="67"/>
        <v>-0.25</v>
      </c>
      <c r="X47" s="13">
        <f t="shared" si="67"/>
        <v>56.650047752882195</v>
      </c>
      <c r="Y47" s="24">
        <f t="shared" si="67"/>
        <v>15.25</v>
      </c>
      <c r="Z47" s="13">
        <f t="shared" si="67"/>
        <v>78.99800483205729</v>
      </c>
      <c r="AA47" s="24">
        <f t="shared" si="67"/>
        <v>-4.5</v>
      </c>
      <c r="AB47" s="13">
        <f t="shared" si="67"/>
        <v>63.65789138879193</v>
      </c>
      <c r="AC47" s="13">
        <f t="shared" si="67"/>
        <v>42.79520532693414</v>
      </c>
      <c r="AD47" s="13">
        <f t="shared" si="67"/>
        <v>55.36636349913332</v>
      </c>
      <c r="AE47" s="13">
        <f t="shared" si="67"/>
        <v>1.4876251403542629</v>
      </c>
      <c r="AF47" s="24">
        <f t="shared" si="1"/>
        <v>41.30758018657988</v>
      </c>
      <c r="AG47" s="13">
        <f aca="true" t="shared" si="68" ref="AG47:AU47">AVERAGE(AG43:AG46)</f>
        <v>0.35080603357828766</v>
      </c>
      <c r="AH47" s="24">
        <f t="shared" si="68"/>
        <v>-12.25</v>
      </c>
      <c r="AI47" s="13">
        <f t="shared" si="68"/>
        <v>41.26566221110255</v>
      </c>
      <c r="AJ47" s="24">
        <f t="shared" si="68"/>
        <v>-1.75</v>
      </c>
      <c r="AK47" s="13">
        <f t="shared" si="68"/>
        <v>39.65852833859167</v>
      </c>
      <c r="AL47" s="21">
        <f t="shared" si="68"/>
        <v>-0.54</v>
      </c>
      <c r="AM47" s="24">
        <f t="shared" si="68"/>
        <v>4</v>
      </c>
      <c r="AN47" s="13">
        <f t="shared" si="68"/>
        <v>53.434649148273174</v>
      </c>
      <c r="AO47" s="24">
        <f t="shared" si="68"/>
        <v>7.75</v>
      </c>
      <c r="AP47" s="13">
        <f t="shared" si="68"/>
        <v>83.82502404846669</v>
      </c>
      <c r="AQ47" s="24">
        <f t="shared" si="68"/>
        <v>-0.75</v>
      </c>
      <c r="AR47" s="13">
        <f t="shared" si="68"/>
        <v>59.816976961096096</v>
      </c>
      <c r="AS47" s="13">
        <f t="shared" si="68"/>
        <v>34.394577786120664</v>
      </c>
      <c r="AT47" s="13">
        <f t="shared" si="68"/>
        <v>62.85095508198255</v>
      </c>
      <c r="AU47" s="13">
        <f t="shared" si="68"/>
        <v>1.725331832707552</v>
      </c>
      <c r="AV47" s="24">
        <f t="shared" si="2"/>
        <v>32.66924595341311</v>
      </c>
      <c r="AW47" s="13">
        <f aca="true" t="shared" si="69" ref="AW47:BK47">AVERAGE(AW43:AW46)</f>
        <v>1.029135299189227</v>
      </c>
      <c r="AX47" s="24">
        <f t="shared" si="69"/>
        <v>-33.5</v>
      </c>
      <c r="AY47" s="13">
        <f t="shared" si="69"/>
        <v>34.39066770734528</v>
      </c>
      <c r="AZ47" s="24">
        <f t="shared" si="69"/>
        <v>-11</v>
      </c>
      <c r="BA47" s="13">
        <f t="shared" si="69"/>
        <v>39.98598741336255</v>
      </c>
      <c r="BB47" s="21">
        <f t="shared" si="69"/>
        <v>-1.05675</v>
      </c>
      <c r="BC47" s="24">
        <f t="shared" si="69"/>
        <v>-8</v>
      </c>
      <c r="BD47" s="13">
        <f t="shared" si="69"/>
        <v>62.16737235606219</v>
      </c>
      <c r="BE47" s="24">
        <f t="shared" si="69"/>
        <v>21.25</v>
      </c>
      <c r="BF47" s="13">
        <f t="shared" si="69"/>
        <v>73.19978014586715</v>
      </c>
      <c r="BG47" s="24">
        <f t="shared" si="69"/>
        <v>-14.5</v>
      </c>
      <c r="BH47" s="13">
        <f t="shared" si="69"/>
        <v>63.84453925304451</v>
      </c>
      <c r="BI47" s="13">
        <f t="shared" si="69"/>
        <v>32.84367031461735</v>
      </c>
      <c r="BJ47" s="13">
        <f t="shared" si="69"/>
        <v>62.69050789060772</v>
      </c>
      <c r="BK47" s="13">
        <f t="shared" si="69"/>
        <v>4.129077916509466</v>
      </c>
      <c r="BL47" s="24">
        <f t="shared" si="3"/>
        <v>28.714592398107882</v>
      </c>
      <c r="BM47" s="13">
        <f aca="true" t="shared" si="70" ref="BM47:CA47">AVERAGE(BM43:BM46)</f>
        <v>0.3367438782654685</v>
      </c>
      <c r="BN47" s="24">
        <f t="shared" si="70"/>
        <v>-12</v>
      </c>
      <c r="BO47" s="13">
        <f t="shared" si="70"/>
        <v>43.13458320763766</v>
      </c>
      <c r="BP47" s="24">
        <f t="shared" si="70"/>
        <v>4</v>
      </c>
      <c r="BQ47" s="13">
        <f t="shared" si="70"/>
        <v>40.44274400797719</v>
      </c>
      <c r="BR47" s="21">
        <f t="shared" si="70"/>
        <v>-0.26125000000000004</v>
      </c>
      <c r="BS47" s="24">
        <f t="shared" si="70"/>
        <v>3.75</v>
      </c>
      <c r="BT47" s="13">
        <f t="shared" si="70"/>
        <v>52.67317431568741</v>
      </c>
      <c r="BU47" s="24">
        <f t="shared" si="70"/>
        <v>2.75</v>
      </c>
      <c r="BV47" s="13">
        <f t="shared" si="70"/>
        <v>88.26316112181719</v>
      </c>
      <c r="BW47" s="24">
        <f t="shared" si="70"/>
        <v>-0.5</v>
      </c>
      <c r="BX47" s="13">
        <f t="shared" si="70"/>
        <v>57.629880491452894</v>
      </c>
      <c r="BY47" s="13">
        <f t="shared" si="70"/>
        <v>36.36160058116231</v>
      </c>
      <c r="BZ47" s="13">
        <f t="shared" si="70"/>
        <v>60.77645448850435</v>
      </c>
      <c r="CA47" s="13">
        <f t="shared" si="70"/>
        <v>2.2825467518674967</v>
      </c>
      <c r="CB47" s="24">
        <f t="shared" si="4"/>
        <v>34.07905382929481</v>
      </c>
      <c r="CC47" s="13">
        <f aca="true" t="shared" si="71" ref="CC47:CQ47">AVERAGE(CC43:CC46)</f>
        <v>0.47389491227425623</v>
      </c>
      <c r="CD47" s="24">
        <f t="shared" si="71"/>
        <v>-11.25</v>
      </c>
      <c r="CE47" s="13">
        <f t="shared" si="71"/>
        <v>43.26939371089968</v>
      </c>
      <c r="CF47" s="24">
        <f t="shared" si="71"/>
        <v>-4.75</v>
      </c>
      <c r="CG47" s="13">
        <f t="shared" si="71"/>
        <v>40.08519683556749</v>
      </c>
      <c r="CH47" s="21">
        <f t="shared" si="71"/>
        <v>-0.9385000000000001</v>
      </c>
      <c r="CI47" s="24">
        <f t="shared" si="71"/>
        <v>8</v>
      </c>
      <c r="CJ47" s="13">
        <f t="shared" si="71"/>
        <v>51.987488074294106</v>
      </c>
      <c r="CK47" s="24">
        <f t="shared" si="71"/>
        <v>7</v>
      </c>
      <c r="CL47" s="13">
        <f t="shared" si="71"/>
        <v>86.09490704978036</v>
      </c>
      <c r="CM47" s="24">
        <f t="shared" si="71"/>
        <v>0.25</v>
      </c>
      <c r="CN47" s="13">
        <f t="shared" si="71"/>
        <v>55.30007573091199</v>
      </c>
      <c r="CO47" s="13">
        <f t="shared" si="71"/>
        <v>38.57086375832946</v>
      </c>
      <c r="CP47" s="13">
        <f t="shared" si="71"/>
        <v>58.96075076796485</v>
      </c>
      <c r="CQ47" s="13">
        <f t="shared" si="71"/>
        <v>2.3067345830267696</v>
      </c>
      <c r="CR47" s="24">
        <f t="shared" si="5"/>
        <v>36.26412917530269</v>
      </c>
      <c r="CS47" s="13">
        <f aca="true" t="shared" si="72" ref="CS47:DG47">AVERAGE(CS43:CS46)</f>
        <v>0.16165089067892682</v>
      </c>
      <c r="CT47" s="24">
        <f t="shared" si="72"/>
        <v>-12.5</v>
      </c>
      <c r="CU47" s="13">
        <f t="shared" si="72"/>
        <v>41.197119765645965</v>
      </c>
      <c r="CV47" s="24">
        <f t="shared" si="72"/>
        <v>-3.25</v>
      </c>
      <c r="CW47" s="13">
        <f t="shared" si="72"/>
        <v>36.63093018759855</v>
      </c>
      <c r="CX47" s="21">
        <f t="shared" si="72"/>
        <v>-0.86625</v>
      </c>
      <c r="CY47" s="24">
        <f t="shared" si="72"/>
        <v>4.5</v>
      </c>
      <c r="CZ47" s="13">
        <f t="shared" si="72"/>
        <v>52.46239167591854</v>
      </c>
      <c r="DA47" s="24">
        <f t="shared" si="72"/>
        <v>5</v>
      </c>
      <c r="DB47" s="13">
        <f t="shared" si="72"/>
        <v>83.0365914710375</v>
      </c>
      <c r="DC47" s="24">
        <f t="shared" si="72"/>
        <v>-4.25</v>
      </c>
      <c r="DD47" s="13">
        <f t="shared" si="72"/>
        <v>57.03691114352765</v>
      </c>
      <c r="DE47" s="13">
        <f t="shared" si="72"/>
        <v>38.74432194079301</v>
      </c>
      <c r="DF47" s="13">
        <f t="shared" si="72"/>
        <v>58.54633685338773</v>
      </c>
      <c r="DG47" s="13">
        <f t="shared" si="72"/>
        <v>2.2223336934658873</v>
      </c>
      <c r="DH47" s="24">
        <f t="shared" si="6"/>
        <v>36.52198824732712</v>
      </c>
      <c r="DI47" s="13">
        <f aca="true" t="shared" si="73" ref="DI47:DW47">AVERAGE(DI43:DI46)</f>
        <v>0.48700751235337664</v>
      </c>
      <c r="DJ47" s="24">
        <f t="shared" si="73"/>
        <v>-7.25</v>
      </c>
      <c r="DK47" s="13">
        <f t="shared" si="73"/>
        <v>38.991556775547956</v>
      </c>
      <c r="DL47" s="24">
        <f t="shared" si="73"/>
        <v>-1</v>
      </c>
      <c r="DM47" s="13">
        <f t="shared" si="73"/>
        <v>36.03536129504538</v>
      </c>
      <c r="DN47" s="21">
        <f t="shared" si="73"/>
        <v>-0.453</v>
      </c>
      <c r="DO47" s="24">
        <f t="shared" si="73"/>
        <v>9.25</v>
      </c>
      <c r="DP47" s="13">
        <f t="shared" si="73"/>
        <v>47.6095720120439</v>
      </c>
      <c r="DQ47" s="24">
        <f t="shared" si="73"/>
        <v>8.5</v>
      </c>
      <c r="DR47" s="13">
        <f t="shared" si="73"/>
        <v>85.50280693927057</v>
      </c>
      <c r="DS47" s="24">
        <f t="shared" si="73"/>
        <v>-1.5</v>
      </c>
      <c r="DT47" s="13">
        <f t="shared" si="73"/>
        <v>57.91371340864911</v>
      </c>
      <c r="DU47" s="13">
        <f t="shared" si="73"/>
        <v>43.821064805691876</v>
      </c>
      <c r="DV47" s="13">
        <f t="shared" si="73"/>
        <v>53.44308597926641</v>
      </c>
      <c r="DW47" s="13">
        <f t="shared" si="73"/>
        <v>2.5133221109412265</v>
      </c>
      <c r="DX47" s="24">
        <f t="shared" si="7"/>
        <v>41.30774269475065</v>
      </c>
      <c r="DY47" s="13">
        <f aca="true" t="shared" si="74" ref="DY47:EM47">AVERAGE(DY43:DY46)</f>
        <v>0.22252710410049845</v>
      </c>
      <c r="DZ47" s="24">
        <f t="shared" si="74"/>
        <v>-18.75</v>
      </c>
      <c r="EA47" s="13">
        <f t="shared" si="74"/>
        <v>50.71600076016493</v>
      </c>
      <c r="EB47" s="24">
        <f t="shared" si="74"/>
        <v>-18.5</v>
      </c>
      <c r="EC47" s="13">
        <f t="shared" si="74"/>
        <v>48.25498759345294</v>
      </c>
      <c r="ED47" s="21">
        <f t="shared" si="74"/>
        <v>-2.173</v>
      </c>
      <c r="EE47" s="24">
        <f t="shared" si="74"/>
        <v>2</v>
      </c>
      <c r="EF47" s="13">
        <f t="shared" si="74"/>
        <v>51.545886656633</v>
      </c>
      <c r="EG47" s="24">
        <f t="shared" si="74"/>
        <v>7.75</v>
      </c>
      <c r="EH47" s="13">
        <f t="shared" si="74"/>
        <v>84.70670359309706</v>
      </c>
      <c r="EI47" s="24">
        <f t="shared" si="74"/>
        <v>-6</v>
      </c>
      <c r="EJ47" s="13">
        <f t="shared" si="74"/>
        <v>57.36227068093373</v>
      </c>
      <c r="EK47" s="13">
        <f t="shared" si="74"/>
        <v>25.219881954602748</v>
      </c>
      <c r="EL47" s="13">
        <f t="shared" si="74"/>
        <v>70.6124955234579</v>
      </c>
      <c r="EM47" s="13">
        <f t="shared" si="74"/>
        <v>3.1954042000909717</v>
      </c>
      <c r="EN47" s="24">
        <f t="shared" si="8"/>
        <v>22.024477754511775</v>
      </c>
      <c r="EO47" s="13">
        <f aca="true" t="shared" si="75" ref="EO47:FC47">AVERAGE(EO43:EO46)</f>
        <v>0.9722183218483799</v>
      </c>
      <c r="EP47" s="24">
        <f t="shared" si="75"/>
        <v>-14</v>
      </c>
      <c r="EQ47" s="13">
        <f t="shared" si="75"/>
        <v>42.130789911302</v>
      </c>
      <c r="ER47" s="24">
        <f t="shared" si="75"/>
        <v>-3</v>
      </c>
      <c r="ES47" s="13">
        <f t="shared" si="75"/>
        <v>38.928602940172794</v>
      </c>
      <c r="ET47" s="21">
        <f t="shared" si="75"/>
        <v>-0.73</v>
      </c>
      <c r="EU47" s="24">
        <f t="shared" si="75"/>
        <v>3.75</v>
      </c>
      <c r="EV47" s="13">
        <f t="shared" si="75"/>
        <v>52.41145506783845</v>
      </c>
      <c r="EW47" s="24">
        <f t="shared" si="75"/>
        <v>7.75</v>
      </c>
      <c r="EX47" s="13">
        <f t="shared" si="75"/>
        <v>83.08184209098408</v>
      </c>
      <c r="EY47" s="24">
        <f t="shared" si="75"/>
        <v>-2.5</v>
      </c>
      <c r="EZ47" s="13">
        <f t="shared" si="75"/>
        <v>58.1594524873253</v>
      </c>
      <c r="FA47" s="13">
        <f t="shared" si="75"/>
        <v>37.689251708057455</v>
      </c>
      <c r="FB47" s="13">
        <f t="shared" si="75"/>
        <v>59.68872641662524</v>
      </c>
      <c r="FC47" s="13">
        <f t="shared" si="75"/>
        <v>2.131656622595593</v>
      </c>
      <c r="FD47" s="24">
        <f t="shared" si="9"/>
        <v>35.55759508546186</v>
      </c>
      <c r="FE47" s="13">
        <f aca="true" t="shared" si="76" ref="FE47:FU47">AVERAGE(FE43:FE46)</f>
        <v>0.46826936635171873</v>
      </c>
      <c r="FF47" s="24">
        <f t="shared" si="76"/>
        <v>-14.75</v>
      </c>
      <c r="FG47" s="13">
        <f t="shared" si="76"/>
        <v>46.54288423969011</v>
      </c>
      <c r="FH47" s="24">
        <f t="shared" si="76"/>
        <v>-17.75</v>
      </c>
      <c r="FI47" s="13">
        <f t="shared" si="76"/>
        <v>41.779107820196266</v>
      </c>
      <c r="FJ47" s="21">
        <f t="shared" si="76"/>
        <v>-2.5117499999999997</v>
      </c>
      <c r="FK47" s="24">
        <f t="shared" si="76"/>
        <v>5.25</v>
      </c>
      <c r="FL47" s="13">
        <f t="shared" si="76"/>
        <v>49.58758967541847</v>
      </c>
      <c r="FM47" s="24">
        <f t="shared" si="76"/>
        <v>12.75</v>
      </c>
      <c r="FN47" s="13">
        <f t="shared" si="76"/>
        <v>81.34977870081053</v>
      </c>
      <c r="FO47" s="24">
        <f t="shared" si="76"/>
        <v>0.5</v>
      </c>
      <c r="FP47" s="13">
        <f t="shared" si="76"/>
        <v>58.01263171147252</v>
      </c>
      <c r="FQ47" s="13">
        <f t="shared" si="76"/>
        <v>32.5934466632755</v>
      </c>
      <c r="FR47" s="13">
        <f t="shared" si="76"/>
        <v>62.73002464365119</v>
      </c>
      <c r="FS47" s="13">
        <f t="shared" si="76"/>
        <v>3.969083795767299</v>
      </c>
      <c r="FT47" s="13">
        <f t="shared" si="76"/>
        <v>28.624362867508204</v>
      </c>
      <c r="FU47" s="13">
        <f t="shared" si="76"/>
        <v>0.7074448973060039</v>
      </c>
    </row>
    <row r="48" spans="1:177" ht="12">
      <c r="A48" s="1" t="s">
        <v>64</v>
      </c>
      <c r="B48" s="23">
        <f>12-51</f>
        <v>-39</v>
      </c>
      <c r="C48" s="8">
        <v>37.67310859010415</v>
      </c>
      <c r="D48" s="23">
        <f>43-23</f>
        <v>20</v>
      </c>
      <c r="E48" s="8">
        <v>34.23360997192593</v>
      </c>
      <c r="F48" s="20">
        <v>-1.2</v>
      </c>
      <c r="G48" s="23">
        <f>41-20</f>
        <v>21</v>
      </c>
      <c r="H48" s="8">
        <v>39.28657580652702</v>
      </c>
      <c r="I48" s="23">
        <f>3-0</f>
        <v>3</v>
      </c>
      <c r="J48" s="8">
        <v>96.44604868152668</v>
      </c>
      <c r="K48" s="23">
        <f>14-19</f>
        <v>-5</v>
      </c>
      <c r="L48" s="8">
        <v>67.08512764517116</v>
      </c>
      <c r="M48" s="8">
        <v>30.71571575081033</v>
      </c>
      <c r="N48" s="8">
        <v>68.38708832564036</v>
      </c>
      <c r="O48" s="8">
        <v>0.8679082337602834</v>
      </c>
      <c r="P48" s="23">
        <f t="shared" si="0"/>
        <v>29.847807517050047</v>
      </c>
      <c r="Q48" s="8">
        <v>0.029287689789021805</v>
      </c>
      <c r="R48" s="23">
        <f>17-23</f>
        <v>-6</v>
      </c>
      <c r="S48" s="8">
        <v>59.99432154922586</v>
      </c>
      <c r="T48" s="23">
        <f>25-46</f>
        <v>-21</v>
      </c>
      <c r="U48" s="8">
        <v>29.17046479720622</v>
      </c>
      <c r="V48" s="20">
        <v>-1.581</v>
      </c>
      <c r="W48" s="23">
        <f>22-17</f>
        <v>5</v>
      </c>
      <c r="X48" s="8">
        <v>61.5330426011262</v>
      </c>
      <c r="Y48" s="23">
        <f>5-4</f>
        <v>1</v>
      </c>
      <c r="Z48" s="8">
        <v>90.73338198985405</v>
      </c>
      <c r="AA48" s="23">
        <f>17-22</f>
        <v>-5</v>
      </c>
      <c r="AB48" s="8">
        <v>60.79540326847807</v>
      </c>
      <c r="AC48" s="8">
        <v>53.30581952689554</v>
      </c>
      <c r="AD48" s="8">
        <v>45.41487930084176</v>
      </c>
      <c r="AE48" s="8">
        <v>1.279301172262705</v>
      </c>
      <c r="AF48" s="23">
        <f t="shared" si="1"/>
        <v>52.026518354632834</v>
      </c>
      <c r="AG48" s="8">
        <v>0</v>
      </c>
      <c r="AH48" s="23">
        <f>6-49</f>
        <v>-43</v>
      </c>
      <c r="AI48" s="8">
        <v>44.60165602636745</v>
      </c>
      <c r="AJ48" s="23">
        <f>24-40</f>
        <v>-16</v>
      </c>
      <c r="AK48" s="8">
        <v>36.26049382205988</v>
      </c>
      <c r="AL48" s="20">
        <v>-3.921</v>
      </c>
      <c r="AM48" s="23">
        <f>23-29</f>
        <v>-6</v>
      </c>
      <c r="AN48" s="8">
        <v>47.75365289059786</v>
      </c>
      <c r="AO48" s="23">
        <f>10-5</f>
        <v>5</v>
      </c>
      <c r="AP48" s="8">
        <v>84.9280787076475</v>
      </c>
      <c r="AQ48" s="23">
        <f>20-26</f>
        <v>-6</v>
      </c>
      <c r="AR48" s="8">
        <v>53.67176878523633</v>
      </c>
      <c r="AS48" s="8">
        <v>41.15852785329474</v>
      </c>
      <c r="AT48" s="8">
        <v>57.939858351196506</v>
      </c>
      <c r="AU48" s="8">
        <v>0.8624214441876009</v>
      </c>
      <c r="AV48" s="23">
        <f t="shared" si="2"/>
        <v>40.29610640910714</v>
      </c>
      <c r="AW48" s="8">
        <v>0.039192351321152785</v>
      </c>
      <c r="AX48" s="23">
        <f>4-38</f>
        <v>-34</v>
      </c>
      <c r="AY48" s="8">
        <v>58.03771560875566</v>
      </c>
      <c r="AZ48" s="23">
        <f>6-67</f>
        <v>-61</v>
      </c>
      <c r="BA48" s="8">
        <v>27.30604410301172</v>
      </c>
      <c r="BB48" s="20">
        <v>-4.686</v>
      </c>
      <c r="BC48" s="23">
        <f>12-22</f>
        <v>-10</v>
      </c>
      <c r="BD48" s="8">
        <v>66.74219395889531</v>
      </c>
      <c r="BE48" s="23">
        <f>7-1</f>
        <v>6</v>
      </c>
      <c r="BF48" s="8">
        <v>92.00166331439891</v>
      </c>
      <c r="BG48" s="23">
        <f>12-23</f>
        <v>-11</v>
      </c>
      <c r="BH48" s="8">
        <v>65.42430269203417</v>
      </c>
      <c r="BI48" s="8">
        <v>45.209786688427606</v>
      </c>
      <c r="BJ48" s="8">
        <v>49.75260378478238</v>
      </c>
      <c r="BK48" s="8">
        <v>5.003805176759497</v>
      </c>
      <c r="BL48" s="23">
        <f t="shared" si="3"/>
        <v>40.20598151166811</v>
      </c>
      <c r="BM48" s="8">
        <v>0.03380435003052179</v>
      </c>
      <c r="BN48" s="23">
        <f>9-52</f>
        <v>-43</v>
      </c>
      <c r="BO48" s="8">
        <v>39.047768880105586</v>
      </c>
      <c r="BP48" s="23">
        <f>11-50</f>
        <v>-39</v>
      </c>
      <c r="BQ48" s="8">
        <v>38.37843546158181</v>
      </c>
      <c r="BR48" s="20">
        <v>-3.976</v>
      </c>
      <c r="BS48" s="23">
        <f>15-18</f>
        <v>-3</v>
      </c>
      <c r="BT48" s="8">
        <v>66.84658591999208</v>
      </c>
      <c r="BU48" s="23">
        <f>4-9</f>
        <v>-5</v>
      </c>
      <c r="BV48" s="8">
        <v>86.77941226335003</v>
      </c>
      <c r="BW48" s="23">
        <f>14-18</f>
        <v>-4</v>
      </c>
      <c r="BX48" s="8">
        <v>67.98766596110256</v>
      </c>
      <c r="BY48" s="8">
        <v>22.12953979237991</v>
      </c>
      <c r="BZ48" s="8">
        <v>75.85901093390953</v>
      </c>
      <c r="CA48" s="8">
        <v>2.011449273710558</v>
      </c>
      <c r="CB48" s="23">
        <f t="shared" si="4"/>
        <v>20.11809051866935</v>
      </c>
      <c r="CC48" s="8">
        <v>0</v>
      </c>
      <c r="CD48" s="23">
        <f>5-43</f>
        <v>-38</v>
      </c>
      <c r="CE48" s="8">
        <v>51.710849019696056</v>
      </c>
      <c r="CF48" s="23">
        <f>15-44</f>
        <v>-29</v>
      </c>
      <c r="CG48" s="8">
        <v>40.6663201462691</v>
      </c>
      <c r="CH48" s="20">
        <v>-4.392</v>
      </c>
      <c r="CI48" s="23">
        <f>12-25</f>
        <v>-13</v>
      </c>
      <c r="CJ48" s="8">
        <v>62.34380834525255</v>
      </c>
      <c r="CK48" s="23">
        <f>15-17</f>
        <v>-2</v>
      </c>
      <c r="CL48" s="8">
        <v>67.37318818485313</v>
      </c>
      <c r="CM48" s="23">
        <f>10-27</f>
        <v>-17</v>
      </c>
      <c r="CN48" s="8">
        <v>63.49018586116296</v>
      </c>
      <c r="CO48" s="8">
        <v>37.24627640849765</v>
      </c>
      <c r="CP48" s="8">
        <v>58.373565379773304</v>
      </c>
      <c r="CQ48" s="8">
        <v>3.755924896068423</v>
      </c>
      <c r="CR48" s="23">
        <f t="shared" si="5"/>
        <v>33.49035151242923</v>
      </c>
      <c r="CS48" s="8">
        <v>0.6242333156606221</v>
      </c>
      <c r="CT48" s="23">
        <f>28-34</f>
        <v>-6</v>
      </c>
      <c r="CU48" s="8">
        <v>38.8643899017975</v>
      </c>
      <c r="CV48" s="23">
        <f>40-34</f>
        <v>6</v>
      </c>
      <c r="CW48" s="8">
        <v>26.47356852596287</v>
      </c>
      <c r="CX48" s="20">
        <v>-1.145</v>
      </c>
      <c r="CY48" s="23">
        <f>50-18</f>
        <v>32</v>
      </c>
      <c r="CZ48" s="8">
        <v>32.673657934754544</v>
      </c>
      <c r="DA48" s="23">
        <f>5-0</f>
        <v>5</v>
      </c>
      <c r="DB48" s="8">
        <v>95.24034188028779</v>
      </c>
      <c r="DC48" s="23">
        <f>29-22</f>
        <v>7</v>
      </c>
      <c r="DD48" s="8">
        <v>49.37266308178573</v>
      </c>
      <c r="DE48" s="8">
        <v>29.049182151435204</v>
      </c>
      <c r="DF48" s="8">
        <v>69.26436904445303</v>
      </c>
      <c r="DG48" s="8">
        <v>0.272248662882196</v>
      </c>
      <c r="DH48" s="23">
        <f t="shared" si="6"/>
        <v>28.77693348855301</v>
      </c>
      <c r="DI48" s="8">
        <v>1.4142001412295664</v>
      </c>
      <c r="DJ48" s="23">
        <f>8-50</f>
        <v>-42</v>
      </c>
      <c r="DK48" s="8">
        <v>41.74941445595027</v>
      </c>
      <c r="DL48" s="23">
        <f>9-50</f>
        <v>-41</v>
      </c>
      <c r="DM48" s="8">
        <v>41.03025802593073</v>
      </c>
      <c r="DN48" s="20">
        <v>-3.133</v>
      </c>
      <c r="DO48" s="23">
        <f>14-17</f>
        <v>-3</v>
      </c>
      <c r="DP48" s="8">
        <v>68.19406310244727</v>
      </c>
      <c r="DQ48" s="23">
        <f>10-0</f>
        <v>10</v>
      </c>
      <c r="DR48" s="8">
        <v>89.44382776132757</v>
      </c>
      <c r="DS48" s="23">
        <f>13-21</f>
        <v>-8</v>
      </c>
      <c r="DT48" s="8">
        <v>65.75526739568305</v>
      </c>
      <c r="DU48" s="8">
        <v>23.012533049742213</v>
      </c>
      <c r="DV48" s="8">
        <v>76.92239661526024</v>
      </c>
      <c r="DW48" s="8">
        <v>0.06507033499754417</v>
      </c>
      <c r="DX48" s="23">
        <f t="shared" si="7"/>
        <v>22.94746271474467</v>
      </c>
      <c r="DY48" s="8">
        <v>0</v>
      </c>
      <c r="DZ48" s="23">
        <f>5-41</f>
        <v>-36</v>
      </c>
      <c r="EA48" s="8">
        <v>53.59809533125552</v>
      </c>
      <c r="EB48" s="23">
        <f>13-36</f>
        <v>-23</v>
      </c>
      <c r="EC48" s="8">
        <v>51.3849501693871</v>
      </c>
      <c r="ED48" s="20">
        <v>-3.004</v>
      </c>
      <c r="EE48" s="23">
        <f>15-26</f>
        <v>-11</v>
      </c>
      <c r="EF48" s="8">
        <v>59.13845531136891</v>
      </c>
      <c r="EG48" s="23">
        <f>9-1</f>
        <v>8</v>
      </c>
      <c r="EH48" s="8">
        <v>89.79521031318562</v>
      </c>
      <c r="EI48" s="23">
        <f>10-22</f>
        <v>-12</v>
      </c>
      <c r="EJ48" s="8">
        <v>67.73818663771505</v>
      </c>
      <c r="EK48" s="8">
        <v>20.791335304312298</v>
      </c>
      <c r="EL48" s="8">
        <v>76.1287310853934</v>
      </c>
      <c r="EM48" s="8">
        <v>3.013801169741665</v>
      </c>
      <c r="EN48" s="23">
        <f t="shared" si="8"/>
        <v>17.777534134570633</v>
      </c>
      <c r="EO48" s="8">
        <v>0.0661324405526374</v>
      </c>
      <c r="EP48" s="23">
        <f>10-44</f>
        <v>-34</v>
      </c>
      <c r="EQ48" s="8">
        <v>45.95480768535658</v>
      </c>
      <c r="ER48" s="23">
        <f>24-41</f>
        <v>-17</v>
      </c>
      <c r="ES48" s="8">
        <v>34.81064992592561</v>
      </c>
      <c r="ET48" s="20">
        <v>-2.744</v>
      </c>
      <c r="EU48" s="23">
        <f>25-21</f>
        <v>4</v>
      </c>
      <c r="EV48" s="8">
        <v>53.75890139732199</v>
      </c>
      <c r="EW48" s="23">
        <f>6-3</f>
        <v>3</v>
      </c>
      <c r="EX48" s="8">
        <v>90.45852956821345</v>
      </c>
      <c r="EY48" s="23">
        <f>15-21</f>
        <v>-6</v>
      </c>
      <c r="EZ48" s="8">
        <v>63.624895332720975</v>
      </c>
      <c r="FA48" s="8">
        <v>33.668204583755546</v>
      </c>
      <c r="FB48" s="8">
        <v>64.3079393762285</v>
      </c>
      <c r="FC48" s="8">
        <v>1.833562727752773</v>
      </c>
      <c r="FD48" s="23">
        <f t="shared" si="9"/>
        <v>31.834641856002772</v>
      </c>
      <c r="FE48" s="8">
        <v>0.19029331226316976</v>
      </c>
      <c r="FF48" s="23">
        <f>9-46</f>
        <v>-37</v>
      </c>
      <c r="FG48" s="8">
        <v>44.93298953259454</v>
      </c>
      <c r="FH48" s="23">
        <f>16-42</f>
        <v>-26</v>
      </c>
      <c r="FI48" s="8">
        <v>41.89055405651175</v>
      </c>
      <c r="FJ48" s="20">
        <v>-5.053</v>
      </c>
      <c r="FK48" s="23">
        <f>22-20</f>
        <v>2</v>
      </c>
      <c r="FL48" s="8">
        <v>57.50577747653297</v>
      </c>
      <c r="FM48" s="23">
        <f>11-3</f>
        <v>8</v>
      </c>
      <c r="FN48" s="8">
        <v>86.52376861186522</v>
      </c>
      <c r="FO48" s="23">
        <f>19-23</f>
        <v>-4</v>
      </c>
      <c r="FP48" s="8">
        <v>58.220626851079075</v>
      </c>
      <c r="FQ48" s="8">
        <v>30.10669959486268</v>
      </c>
      <c r="FR48" s="8">
        <v>66.80142938743458</v>
      </c>
      <c r="FS48" s="8">
        <v>2.2904264034844064</v>
      </c>
      <c r="FT48" s="112">
        <f>FQ48-FS48</f>
        <v>27.816273191378272</v>
      </c>
      <c r="FU48" s="23">
        <v>0.8014446142183433</v>
      </c>
    </row>
    <row r="49" spans="1:177" ht="12">
      <c r="A49" s="1" t="s">
        <v>36</v>
      </c>
      <c r="B49" s="23">
        <f>40-32</f>
        <v>8</v>
      </c>
      <c r="C49" s="8">
        <v>28.253350245398916</v>
      </c>
      <c r="D49" s="23">
        <f>45-37</f>
        <v>8</v>
      </c>
      <c r="E49" s="8">
        <v>18.656696584943745</v>
      </c>
      <c r="F49" s="20">
        <v>-3.666</v>
      </c>
      <c r="G49" s="23">
        <f>15-30</f>
        <v>-15</v>
      </c>
      <c r="H49" s="8">
        <v>55.434282209942786</v>
      </c>
      <c r="I49" s="23">
        <f>10-4</f>
        <v>6</v>
      </c>
      <c r="J49" s="8">
        <v>86.0176541272425</v>
      </c>
      <c r="K49" s="23">
        <f>15-28</f>
        <v>-13</v>
      </c>
      <c r="L49" s="8">
        <v>57.04362318044212</v>
      </c>
      <c r="M49" s="8">
        <v>33.04128542193935</v>
      </c>
      <c r="N49" s="8">
        <v>63.23910168207533</v>
      </c>
      <c r="O49" s="8">
        <v>0.9434332392511414</v>
      </c>
      <c r="P49" s="23">
        <f t="shared" si="0"/>
        <v>32.09785218268821</v>
      </c>
      <c r="Q49" s="8">
        <v>2.776179656734188</v>
      </c>
      <c r="R49" s="23">
        <f>21-33</f>
        <v>-12</v>
      </c>
      <c r="S49" s="8">
        <v>46.59147217263626</v>
      </c>
      <c r="T49" s="23">
        <f>26-32</f>
        <v>-6</v>
      </c>
      <c r="U49" s="8">
        <v>42.14428475717096</v>
      </c>
      <c r="V49" s="20">
        <v>-1.703</v>
      </c>
      <c r="W49" s="23">
        <f>27-20</f>
        <v>7</v>
      </c>
      <c r="X49" s="8">
        <v>52.951063001717415</v>
      </c>
      <c r="Y49" s="23">
        <f>10-1</f>
        <v>9</v>
      </c>
      <c r="Z49" s="8">
        <v>88.80907105925273</v>
      </c>
      <c r="AA49" s="23">
        <f>24-18</f>
        <v>6</v>
      </c>
      <c r="AB49" s="8">
        <v>57.91087291305299</v>
      </c>
      <c r="AC49" s="8">
        <v>49.084690968771774</v>
      </c>
      <c r="AD49" s="8">
        <v>48.68410717181839</v>
      </c>
      <c r="AE49" s="8">
        <v>1.1855748158481294</v>
      </c>
      <c r="AF49" s="23">
        <f t="shared" si="1"/>
        <v>47.899116152923646</v>
      </c>
      <c r="AG49" s="8">
        <v>1.0456270435617023</v>
      </c>
      <c r="AH49" s="23">
        <f>25-35</f>
        <v>-10</v>
      </c>
      <c r="AI49" s="8">
        <v>40.30868556696603</v>
      </c>
      <c r="AJ49" s="23">
        <f>36-35</f>
        <v>1</v>
      </c>
      <c r="AK49" s="8">
        <v>29.148731054635146</v>
      </c>
      <c r="AL49" s="20">
        <v>-1.856</v>
      </c>
      <c r="AM49" s="23">
        <f>13-26</f>
        <v>-13</v>
      </c>
      <c r="AN49" s="8">
        <v>61.91198945223786</v>
      </c>
      <c r="AO49" s="23">
        <f>16-5</f>
        <v>11</v>
      </c>
      <c r="AP49" s="8">
        <v>78.63186783410228</v>
      </c>
      <c r="AQ49" s="23">
        <f>14-23</f>
        <v>-9</v>
      </c>
      <c r="AR49" s="8">
        <v>63.10420556771803</v>
      </c>
      <c r="AS49" s="8">
        <v>43.18127597936614</v>
      </c>
      <c r="AT49" s="8">
        <v>55.19251424362677</v>
      </c>
      <c r="AU49" s="8">
        <v>1.2329997117678007</v>
      </c>
      <c r="AV49" s="23">
        <f t="shared" si="2"/>
        <v>41.94827626759834</v>
      </c>
      <c r="AW49" s="8">
        <v>0.3932100652392871</v>
      </c>
      <c r="AX49" s="23">
        <f>39-23</f>
        <v>16</v>
      </c>
      <c r="AY49" s="8">
        <v>37.67684796038564</v>
      </c>
      <c r="AZ49" s="23">
        <f>37-35</f>
        <v>2</v>
      </c>
      <c r="BA49" s="8">
        <v>28.24905268664618</v>
      </c>
      <c r="BB49" s="20">
        <v>-3.465</v>
      </c>
      <c r="BC49" s="23">
        <f>12-16</f>
        <v>-4</v>
      </c>
      <c r="BD49" s="8">
        <v>71.52139014068335</v>
      </c>
      <c r="BE49" s="23">
        <f>38-1</f>
        <v>37</v>
      </c>
      <c r="BF49" s="8">
        <v>60.54870929107076</v>
      </c>
      <c r="BG49" s="23">
        <f>8-17</f>
        <v>-9</v>
      </c>
      <c r="BH49" s="8">
        <v>74.97378773282868</v>
      </c>
      <c r="BI49" s="8">
        <v>19.108391717684725</v>
      </c>
      <c r="BJ49" s="8">
        <v>78.28971885181004</v>
      </c>
      <c r="BK49" s="8">
        <v>2.3415285552568115</v>
      </c>
      <c r="BL49" s="23">
        <f t="shared" si="3"/>
        <v>16.766863162427914</v>
      </c>
      <c r="BM49" s="8">
        <v>0.2603608752484289</v>
      </c>
      <c r="BN49" s="23">
        <f>24-33</f>
        <v>-9</v>
      </c>
      <c r="BO49" s="8">
        <v>42.77785575430789</v>
      </c>
      <c r="BP49" s="23">
        <f>26-36</f>
        <v>-10</v>
      </c>
      <c r="BQ49" s="8">
        <v>38.446002980728764</v>
      </c>
      <c r="BR49" s="20">
        <v>-2.959</v>
      </c>
      <c r="BS49" s="23">
        <f>15-30</f>
        <v>-15</v>
      </c>
      <c r="BT49" s="8">
        <v>55.2597424094738</v>
      </c>
      <c r="BU49" s="23">
        <f>16-6</f>
        <v>10</v>
      </c>
      <c r="BV49" s="8">
        <v>77.72043273318872</v>
      </c>
      <c r="BW49" s="23">
        <f>13-29</f>
        <v>-16</v>
      </c>
      <c r="BX49" s="8">
        <v>58.327968906668104</v>
      </c>
      <c r="BY49" s="8">
        <v>33.09749202417459</v>
      </c>
      <c r="BZ49" s="8">
        <v>59.78954778384447</v>
      </c>
      <c r="CA49" s="8">
        <v>6.224662848901522</v>
      </c>
      <c r="CB49" s="23">
        <f t="shared" si="4"/>
        <v>26.87282917527307</v>
      </c>
      <c r="CC49" s="8">
        <v>0.8882973430794256</v>
      </c>
      <c r="CD49" s="23">
        <f>21-25</f>
        <v>-4</v>
      </c>
      <c r="CE49" s="8">
        <v>53.7533567935346</v>
      </c>
      <c r="CF49" s="23">
        <f>17-37</f>
        <v>-20</v>
      </c>
      <c r="CG49" s="8">
        <v>46.625777092537994</v>
      </c>
      <c r="CH49" s="20">
        <v>-3.869</v>
      </c>
      <c r="CI49" s="23">
        <f>28-19</f>
        <v>9</v>
      </c>
      <c r="CJ49" s="8">
        <v>52.47731678996672</v>
      </c>
      <c r="CK49" s="23">
        <f>11-14</f>
        <v>-3</v>
      </c>
      <c r="CL49" s="8">
        <v>75.03597503882182</v>
      </c>
      <c r="CM49" s="23">
        <f>22-20</f>
        <v>2</v>
      </c>
      <c r="CN49" s="8">
        <v>57.93226981047278</v>
      </c>
      <c r="CO49" s="8">
        <v>47.211080426492394</v>
      </c>
      <c r="CP49" s="8">
        <v>47.88888014569874</v>
      </c>
      <c r="CQ49" s="8">
        <v>2.838775414264174</v>
      </c>
      <c r="CR49" s="23">
        <f t="shared" si="5"/>
        <v>44.37230501222822</v>
      </c>
      <c r="CS49" s="8">
        <v>2.061264013544694</v>
      </c>
      <c r="CT49" s="23">
        <f>35-19</f>
        <v>16</v>
      </c>
      <c r="CU49" s="8">
        <v>46.13578401920063</v>
      </c>
      <c r="CV49" s="23">
        <f>34-24</f>
        <v>10</v>
      </c>
      <c r="CW49" s="8">
        <v>41.45104590662823</v>
      </c>
      <c r="CX49" s="20">
        <v>-1.306</v>
      </c>
      <c r="CY49" s="23">
        <f>12-12</f>
        <v>0</v>
      </c>
      <c r="CZ49" s="8">
        <v>75.27197155345542</v>
      </c>
      <c r="DA49" s="23">
        <f>10-4</f>
        <v>6</v>
      </c>
      <c r="DB49" s="8">
        <v>86.12226810700113</v>
      </c>
      <c r="DC49" s="23">
        <f>11-21</f>
        <v>-10</v>
      </c>
      <c r="DD49" s="8">
        <v>68.32179836497733</v>
      </c>
      <c r="DE49" s="8">
        <v>21.825998509070786</v>
      </c>
      <c r="DF49" s="8">
        <v>76.84729011952169</v>
      </c>
      <c r="DG49" s="8">
        <v>1.326711371407527</v>
      </c>
      <c r="DH49" s="23">
        <f t="shared" si="6"/>
        <v>20.49928713766326</v>
      </c>
      <c r="DI49" s="8">
        <v>0</v>
      </c>
      <c r="DJ49" s="23">
        <f>29-31</f>
        <v>-2</v>
      </c>
      <c r="DK49" s="8">
        <v>40.00233708026626</v>
      </c>
      <c r="DL49" s="23">
        <f>28-35</f>
        <v>-7</v>
      </c>
      <c r="DM49" s="8">
        <v>37.052768407543255</v>
      </c>
      <c r="DN49" s="20">
        <v>-2.781</v>
      </c>
      <c r="DO49" s="23">
        <f>19-24</f>
        <v>-5</v>
      </c>
      <c r="DP49" s="8">
        <v>56.3088134480421</v>
      </c>
      <c r="DQ49" s="23">
        <f>31-2</f>
        <v>29</v>
      </c>
      <c r="DR49" s="8">
        <v>85.56095657011653</v>
      </c>
      <c r="DS49" s="23">
        <f>17-23</f>
        <v>-6</v>
      </c>
      <c r="DT49" s="8">
        <v>60.75785702588195</v>
      </c>
      <c r="DU49" s="8">
        <v>20.840813272002595</v>
      </c>
      <c r="DV49" s="8">
        <v>75.67478568131229</v>
      </c>
      <c r="DW49" s="8">
        <v>1.4986692896132858</v>
      </c>
      <c r="DX49" s="23">
        <f t="shared" si="7"/>
        <v>19.34214398238931</v>
      </c>
      <c r="DY49" s="8">
        <v>1.9857317570718318</v>
      </c>
      <c r="DZ49" s="23">
        <f>21-22</f>
        <v>-1</v>
      </c>
      <c r="EA49" s="8">
        <v>56.26582011515183</v>
      </c>
      <c r="EB49" s="23">
        <f>19-38</f>
        <v>-19</v>
      </c>
      <c r="EC49" s="8">
        <v>43.25311220497734</v>
      </c>
      <c r="ED49" s="20">
        <v>-3.416</v>
      </c>
      <c r="EE49" s="23">
        <f>21-19</f>
        <v>2</v>
      </c>
      <c r="EF49" s="8">
        <v>59.40005315729609</v>
      </c>
      <c r="EG49" s="23">
        <f>16-2</f>
        <v>14</v>
      </c>
      <c r="EH49" s="8">
        <v>82.16432680455169</v>
      </c>
      <c r="EI49" s="23">
        <f>19-24</f>
        <v>-5</v>
      </c>
      <c r="EJ49" s="8">
        <v>57.05491370129094</v>
      </c>
      <c r="EK49" s="8">
        <v>22.683480165148346</v>
      </c>
      <c r="EL49" s="8">
        <v>75.43001884192122</v>
      </c>
      <c r="EM49" s="8">
        <v>1.846259647211152</v>
      </c>
      <c r="EN49" s="23">
        <f t="shared" si="8"/>
        <v>20.837220517937194</v>
      </c>
      <c r="EO49" s="8">
        <v>0.040241345719281583</v>
      </c>
      <c r="EP49" s="23">
        <f>31-29</f>
        <v>2</v>
      </c>
      <c r="EQ49" s="8">
        <v>40.27655004986542</v>
      </c>
      <c r="ER49" s="23">
        <f>33-34</f>
        <v>-1</v>
      </c>
      <c r="ES49" s="8">
        <v>32.450712143203994</v>
      </c>
      <c r="ET49" s="20">
        <v>-2.946</v>
      </c>
      <c r="EU49" s="23">
        <f>17-23</f>
        <v>-6</v>
      </c>
      <c r="EV49" s="8">
        <v>60.105846397469264</v>
      </c>
      <c r="EW49" s="23">
        <f>16-4</f>
        <v>12</v>
      </c>
      <c r="EX49" s="8">
        <v>80.13675796466609</v>
      </c>
      <c r="EY49" s="23">
        <f>15-23</f>
        <v>-8</v>
      </c>
      <c r="EZ49" s="8">
        <v>61.77922453197267</v>
      </c>
      <c r="FA49" s="8">
        <v>31.141641664067997</v>
      </c>
      <c r="FB49" s="8">
        <v>65.61693851546126</v>
      </c>
      <c r="FC49" s="8">
        <v>1.9528771438427077</v>
      </c>
      <c r="FD49" s="23">
        <f t="shared" si="9"/>
        <v>29.188764520225288</v>
      </c>
      <c r="FE49" s="8">
        <v>1.288542676628045</v>
      </c>
      <c r="FF49" s="23">
        <f>20-33</f>
        <v>-13</v>
      </c>
      <c r="FG49" s="8">
        <v>46.71907992443855</v>
      </c>
      <c r="FH49" s="23">
        <f>17-38</f>
        <v>-21</v>
      </c>
      <c r="FI49" s="8">
        <v>44.356244180807515</v>
      </c>
      <c r="FJ49" s="20">
        <v>-3.758</v>
      </c>
      <c r="FK49" s="23">
        <f>24-24</f>
        <v>0</v>
      </c>
      <c r="FL49" s="8">
        <v>52.23799366901666</v>
      </c>
      <c r="FM49" s="23">
        <f>13-3</f>
        <v>10</v>
      </c>
      <c r="FN49" s="8">
        <v>83.67626437966746</v>
      </c>
      <c r="FO49" s="23">
        <f>18-27</f>
        <v>-9</v>
      </c>
      <c r="FP49" s="8">
        <v>55.76673134699374</v>
      </c>
      <c r="FQ49" s="8">
        <v>36.34197671357573</v>
      </c>
      <c r="FR49" s="8">
        <v>59.905229719363575</v>
      </c>
      <c r="FS49" s="8">
        <v>2.0774438427519013</v>
      </c>
      <c r="FT49" s="112">
        <f>FQ49-FS49</f>
        <v>34.26453287082383</v>
      </c>
      <c r="FU49" s="23">
        <v>1.6753497243087945</v>
      </c>
    </row>
    <row r="50" spans="1:177" ht="12">
      <c r="A50" s="1" t="s">
        <v>32</v>
      </c>
      <c r="B50" s="23">
        <f>35-39</f>
        <v>-4</v>
      </c>
      <c r="C50" s="8">
        <v>25.988846491018297</v>
      </c>
      <c r="D50" s="23">
        <f>13-58</f>
        <v>-45</v>
      </c>
      <c r="E50" s="8">
        <v>28.991965948562264</v>
      </c>
      <c r="F50" s="20">
        <v>-4.133</v>
      </c>
      <c r="G50" s="23">
        <f>36-16</f>
        <v>20</v>
      </c>
      <c r="H50" s="8">
        <v>47.940679465738015</v>
      </c>
      <c r="I50" s="23">
        <f>10-3</f>
        <v>7</v>
      </c>
      <c r="J50" s="8">
        <v>87.60165859759286</v>
      </c>
      <c r="K50" s="23">
        <f>32-14</f>
        <v>18</v>
      </c>
      <c r="L50" s="8">
        <v>53.46337455493835</v>
      </c>
      <c r="M50" s="8">
        <v>58.71357356898983</v>
      </c>
      <c r="N50" s="8">
        <v>35.98665264495735</v>
      </c>
      <c r="O50" s="8">
        <v>5.212128710878503</v>
      </c>
      <c r="P50" s="23">
        <f t="shared" si="0"/>
        <v>53.50144485811133</v>
      </c>
      <c r="Q50" s="8">
        <v>0.08764507517431798</v>
      </c>
      <c r="R50" s="23">
        <f>18-46</f>
        <v>-28</v>
      </c>
      <c r="S50" s="8">
        <v>36.215118675913935</v>
      </c>
      <c r="T50" s="23">
        <f>18-49</f>
        <v>-31</v>
      </c>
      <c r="U50" s="8">
        <v>33.083505802084716</v>
      </c>
      <c r="V50" s="20">
        <v>-3.14</v>
      </c>
      <c r="W50" s="23">
        <f>41-14</f>
        <v>27</v>
      </c>
      <c r="X50" s="8">
        <v>44.35587831413009</v>
      </c>
      <c r="Y50" s="23">
        <f>6-2</f>
        <v>4</v>
      </c>
      <c r="Z50" s="8">
        <v>91.7873602966368</v>
      </c>
      <c r="AA50" s="23">
        <f>38-10</f>
        <v>28</v>
      </c>
      <c r="AB50" s="8">
        <v>52.118593588480444</v>
      </c>
      <c r="AC50" s="8">
        <v>69.51599307302322</v>
      </c>
      <c r="AD50" s="8">
        <v>28.80077430621532</v>
      </c>
      <c r="AE50" s="8">
        <v>0.7972241578727739</v>
      </c>
      <c r="AF50" s="23">
        <f t="shared" si="1"/>
        <v>68.71876891515045</v>
      </c>
      <c r="AG50" s="8">
        <v>0.8860084628886858</v>
      </c>
      <c r="AH50" s="23">
        <f>28-45</f>
        <v>-17</v>
      </c>
      <c r="AI50" s="8">
        <v>26.798083252310406</v>
      </c>
      <c r="AJ50" s="23">
        <f>19-55</f>
        <v>-36</v>
      </c>
      <c r="AK50" s="8">
        <v>25.99101523462742</v>
      </c>
      <c r="AL50" s="20">
        <v>-4.328</v>
      </c>
      <c r="AM50" s="23">
        <f>36-19</f>
        <v>17</v>
      </c>
      <c r="AN50" s="8">
        <v>45.76902507774858</v>
      </c>
      <c r="AO50" s="23">
        <f>14-1</f>
        <v>13</v>
      </c>
      <c r="AP50" s="8">
        <v>85.50197641652059</v>
      </c>
      <c r="AQ50" s="23">
        <f>25-16</f>
        <v>9</v>
      </c>
      <c r="AR50" s="8">
        <v>58.9579193782553</v>
      </c>
      <c r="AS50" s="8">
        <v>51.29529701336043</v>
      </c>
      <c r="AT50" s="8">
        <v>45.87121105087554</v>
      </c>
      <c r="AU50" s="8">
        <v>1.523895935741355</v>
      </c>
      <c r="AV50" s="23">
        <f t="shared" si="2"/>
        <v>49.771401077619075</v>
      </c>
      <c r="AW50" s="8">
        <v>1.3095960000226785</v>
      </c>
      <c r="AX50" s="23">
        <f>8-59</f>
        <v>-51</v>
      </c>
      <c r="AY50" s="8">
        <v>32.97872282766666</v>
      </c>
      <c r="AZ50" s="23">
        <f>3-68</f>
        <v>-65</v>
      </c>
      <c r="BA50" s="8">
        <v>29.081139374439037</v>
      </c>
      <c r="BB50" s="20">
        <v>-5.362</v>
      </c>
      <c r="BC50" s="23">
        <f>29-15</f>
        <v>14</v>
      </c>
      <c r="BD50" s="8">
        <v>56.027457360754376</v>
      </c>
      <c r="BE50" s="23">
        <f>8-3</f>
        <v>5</v>
      </c>
      <c r="BF50" s="8">
        <v>88.60660505755449</v>
      </c>
      <c r="BG50" s="23">
        <f>23-17</f>
        <v>6</v>
      </c>
      <c r="BH50" s="8">
        <v>60.66638739372574</v>
      </c>
      <c r="BI50" s="8">
        <v>53.47874799177457</v>
      </c>
      <c r="BJ50" s="8">
        <v>46.40661453674248</v>
      </c>
      <c r="BK50" s="8">
        <v>0.07969819209044052</v>
      </c>
      <c r="BL50" s="23">
        <f t="shared" si="3"/>
        <v>53.39904979968413</v>
      </c>
      <c r="BM50" s="8">
        <v>0.034939279392510784</v>
      </c>
      <c r="BN50" s="23">
        <f>13-39</f>
        <v>-26</v>
      </c>
      <c r="BO50" s="8">
        <v>47.63687942159389</v>
      </c>
      <c r="BP50" s="23">
        <f>29-38</f>
        <v>-9</v>
      </c>
      <c r="BQ50" s="8">
        <v>33.38176896014881</v>
      </c>
      <c r="BR50" s="20">
        <v>-2.127</v>
      </c>
      <c r="BS50" s="23">
        <f>30-16</f>
        <v>14</v>
      </c>
      <c r="BT50" s="8">
        <v>53.18332755293659</v>
      </c>
      <c r="BU50" s="23">
        <f>7-1</f>
        <v>6</v>
      </c>
      <c r="BV50" s="8">
        <v>92.34202651590637</v>
      </c>
      <c r="BW50" s="23">
        <f>20-19</f>
        <v>1</v>
      </c>
      <c r="BX50" s="8">
        <v>60.71769207541464</v>
      </c>
      <c r="BY50" s="8">
        <v>30.97947330662063</v>
      </c>
      <c r="BZ50" s="8">
        <v>67.58083504200593</v>
      </c>
      <c r="CA50" s="8">
        <v>0.8401212331930619</v>
      </c>
      <c r="CB50" s="23">
        <f t="shared" si="4"/>
        <v>30.139352073427567</v>
      </c>
      <c r="CC50" s="8">
        <v>0.5995704181803787</v>
      </c>
      <c r="CD50" s="23">
        <f>8-42</f>
        <v>-34</v>
      </c>
      <c r="CE50" s="8">
        <v>49.855458804600325</v>
      </c>
      <c r="CF50" s="23">
        <f>17-52</f>
        <v>-35</v>
      </c>
      <c r="CG50" s="8">
        <v>30.568934886689743</v>
      </c>
      <c r="CH50" s="20">
        <v>-5.275</v>
      </c>
      <c r="CI50" s="23">
        <f>33-14</f>
        <v>19</v>
      </c>
      <c r="CJ50" s="8">
        <v>53.291114967366724</v>
      </c>
      <c r="CK50" s="23">
        <f>25-0</f>
        <v>25</v>
      </c>
      <c r="CL50" s="8">
        <v>74.6946056463073</v>
      </c>
      <c r="CM50" s="23">
        <f>17-21</f>
        <v>-4</v>
      </c>
      <c r="CN50" s="8">
        <v>61.55083494565699</v>
      </c>
      <c r="CO50" s="8">
        <v>44.52445524194915</v>
      </c>
      <c r="CP50" s="8">
        <v>52.659922554385496</v>
      </c>
      <c r="CQ50" s="8">
        <v>2.815622203665347</v>
      </c>
      <c r="CR50" s="23">
        <f t="shared" si="5"/>
        <v>41.7088330382838</v>
      </c>
      <c r="CS50" s="8">
        <v>0</v>
      </c>
      <c r="CT50" s="23">
        <f>32-29</f>
        <v>3</v>
      </c>
      <c r="CU50" s="8">
        <v>38.82967838288931</v>
      </c>
      <c r="CV50" s="23">
        <f>15-53</f>
        <v>-38</v>
      </c>
      <c r="CW50" s="8">
        <v>31.944453704279148</v>
      </c>
      <c r="CX50" s="20">
        <v>-3.968</v>
      </c>
      <c r="CY50" s="23">
        <f>32-21</f>
        <v>11</v>
      </c>
      <c r="CZ50" s="8">
        <v>46.81587518378448</v>
      </c>
      <c r="DA50" s="23">
        <f>9-5</f>
        <v>4</v>
      </c>
      <c r="DB50" s="8">
        <v>85.6010026499628</v>
      </c>
      <c r="DC50" s="23">
        <f>27-16</f>
        <v>11</v>
      </c>
      <c r="DD50" s="8">
        <v>56.22452058436852</v>
      </c>
      <c r="DE50" s="8">
        <v>50.82232546698246</v>
      </c>
      <c r="DF50" s="8">
        <v>46.604513610340355</v>
      </c>
      <c r="DG50" s="8">
        <v>0.32736471550721524</v>
      </c>
      <c r="DH50" s="23">
        <f t="shared" si="6"/>
        <v>50.49496075147525</v>
      </c>
      <c r="DI50" s="114">
        <v>2.2457962071699638</v>
      </c>
      <c r="DJ50" s="23">
        <f>14-32</f>
        <v>-18</v>
      </c>
      <c r="DK50" s="8">
        <v>54.6325259850798</v>
      </c>
      <c r="DL50" s="23">
        <f>35-27</f>
        <v>8</v>
      </c>
      <c r="DM50" s="8">
        <v>37.97335467000532</v>
      </c>
      <c r="DN50" s="20">
        <v>-1.589</v>
      </c>
      <c r="DO50" s="23">
        <f>31-14</f>
        <v>17</v>
      </c>
      <c r="DP50" s="8">
        <v>54.93581313386239</v>
      </c>
      <c r="DQ50" s="23">
        <f>6-4</f>
        <v>2</v>
      </c>
      <c r="DR50" s="8">
        <v>90.63462668992949</v>
      </c>
      <c r="DS50" s="23">
        <f>25-15</f>
        <v>10</v>
      </c>
      <c r="DT50" s="8">
        <v>59.17913890305314</v>
      </c>
      <c r="DU50" s="8">
        <v>33.2217360036849</v>
      </c>
      <c r="DV50" s="8">
        <v>63.64544206666477</v>
      </c>
      <c r="DW50" s="8">
        <v>1.9743208967822727</v>
      </c>
      <c r="DX50" s="23">
        <f t="shared" si="7"/>
        <v>31.24741510690263</v>
      </c>
      <c r="DY50" s="8">
        <v>1.1585010328680483</v>
      </c>
      <c r="DZ50" s="23">
        <f>12-33</f>
        <v>-21</v>
      </c>
      <c r="EA50" s="8">
        <v>54.486962695406696</v>
      </c>
      <c r="EB50" s="23">
        <f>6-46</f>
        <v>-40</v>
      </c>
      <c r="EC50" s="8">
        <v>48.52800209608326</v>
      </c>
      <c r="ED50" s="20">
        <v>-3.75</v>
      </c>
      <c r="EE50" s="23">
        <f>42-11</f>
        <v>31</v>
      </c>
      <c r="EF50" s="8">
        <v>46.36839352534816</v>
      </c>
      <c r="EG50" s="23">
        <f>11-4</f>
        <v>7</v>
      </c>
      <c r="EH50" s="8">
        <v>84.5783690547539</v>
      </c>
      <c r="EI50" s="23">
        <f>32-15</f>
        <v>17</v>
      </c>
      <c r="EJ50" s="8">
        <v>52.28526392567776</v>
      </c>
      <c r="EK50" s="8">
        <v>37.69739840330281</v>
      </c>
      <c r="EL50" s="8">
        <v>57.12611171166475</v>
      </c>
      <c r="EM50" s="8">
        <v>4.133396503194811</v>
      </c>
      <c r="EN50" s="23">
        <f t="shared" si="8"/>
        <v>33.564001900108</v>
      </c>
      <c r="EO50" s="8">
        <v>1.0430933818376291</v>
      </c>
      <c r="EP50" s="23">
        <f>21-41</f>
        <v>-20</v>
      </c>
      <c r="EQ50" s="8">
        <v>37.75677256295983</v>
      </c>
      <c r="ER50" s="23">
        <f>16-52</f>
        <v>-36</v>
      </c>
      <c r="ES50" s="8">
        <v>32.39574071653915</v>
      </c>
      <c r="ET50" s="20">
        <v>-3.848</v>
      </c>
      <c r="EU50" s="23">
        <f>35-16</f>
        <v>19</v>
      </c>
      <c r="EV50" s="8">
        <v>49.8509747710444</v>
      </c>
      <c r="EW50" s="23">
        <f>10-3</f>
        <v>7</v>
      </c>
      <c r="EX50" s="8">
        <v>87.37836755200055</v>
      </c>
      <c r="EY50" s="23">
        <f>28-16</f>
        <v>12</v>
      </c>
      <c r="EZ50" s="8">
        <v>56.70407393066179</v>
      </c>
      <c r="FA50" s="8">
        <v>50.00159443541119</v>
      </c>
      <c r="FB50" s="8">
        <v>46.948739991704755</v>
      </c>
      <c r="FC50" s="8">
        <v>2.377865396618539</v>
      </c>
      <c r="FD50" s="23">
        <f t="shared" si="9"/>
        <v>47.62372903879265</v>
      </c>
      <c r="FE50" s="8">
        <v>0.6718001762655158</v>
      </c>
      <c r="FF50" s="23">
        <f>21-39</f>
        <v>-18</v>
      </c>
      <c r="FG50" s="8">
        <v>39.14010365706878</v>
      </c>
      <c r="FH50" s="23">
        <f>14-47</f>
        <v>-33</v>
      </c>
      <c r="FI50" s="8">
        <v>39.63794535840975</v>
      </c>
      <c r="FJ50" s="20">
        <v>-4.752</v>
      </c>
      <c r="FK50" s="23">
        <f>33-22</f>
        <v>11</v>
      </c>
      <c r="FL50" s="8">
        <v>44.871991247592774</v>
      </c>
      <c r="FM50" s="23">
        <f>13-4</f>
        <v>9</v>
      </c>
      <c r="FN50" s="8">
        <v>83.30223658935503</v>
      </c>
      <c r="FO50" s="23">
        <f>31-23</f>
        <v>8</v>
      </c>
      <c r="FP50" s="8">
        <v>45.67107953290437</v>
      </c>
      <c r="FQ50" s="8">
        <v>41.3393656514542</v>
      </c>
      <c r="FR50" s="8">
        <v>53.87455593478649</v>
      </c>
      <c r="FS50" s="8">
        <v>3.108664041506188</v>
      </c>
      <c r="FT50" s="112">
        <f>FQ50-FS50</f>
        <v>38.230701609948014</v>
      </c>
      <c r="FU50" s="23">
        <v>1.6774143722531092</v>
      </c>
    </row>
    <row r="51" spans="1:177" ht="12">
      <c r="A51" s="1" t="s">
        <v>33</v>
      </c>
      <c r="B51" s="23">
        <f>50-17</f>
        <v>33</v>
      </c>
      <c r="C51" s="8">
        <v>33.56003200268513</v>
      </c>
      <c r="D51" s="23">
        <f>38-26</f>
        <v>12</v>
      </c>
      <c r="E51" s="8">
        <v>35.944388690460336</v>
      </c>
      <c r="F51" s="20">
        <v>-1.706</v>
      </c>
      <c r="G51" s="23">
        <f>16-40</f>
        <v>-24</v>
      </c>
      <c r="H51" s="8">
        <v>43.263499750409174</v>
      </c>
      <c r="I51" s="23">
        <f>5-3</f>
        <v>2</v>
      </c>
      <c r="J51" s="8">
        <v>92.10940460638435</v>
      </c>
      <c r="K51" s="23">
        <f>14-16</f>
        <v>-2</v>
      </c>
      <c r="L51" s="8">
        <v>69.75345453011901</v>
      </c>
      <c r="M51" s="8">
        <v>54.30577234827805</v>
      </c>
      <c r="N51" s="8">
        <v>43.08318424172927</v>
      </c>
      <c r="O51" s="8">
        <v>2.1712846228833254</v>
      </c>
      <c r="P51" s="23">
        <f t="shared" si="0"/>
        <v>52.13448772539472</v>
      </c>
      <c r="Q51" s="8">
        <v>0.4397587871093548</v>
      </c>
      <c r="R51" s="23">
        <f>20-22</f>
        <v>-2</v>
      </c>
      <c r="S51" s="8">
        <v>58.28644929477203</v>
      </c>
      <c r="T51" s="23">
        <f>19-19</f>
        <v>0</v>
      </c>
      <c r="U51" s="8">
        <v>61.981058186397995</v>
      </c>
      <c r="V51" s="20">
        <v>-1.395</v>
      </c>
      <c r="W51" s="23">
        <f>14-30</f>
        <v>-16</v>
      </c>
      <c r="X51" s="8">
        <v>56.07749013463143</v>
      </c>
      <c r="Y51" s="23">
        <f>3-2</f>
        <v>1</v>
      </c>
      <c r="Z51" s="8">
        <v>95.03998813817543</v>
      </c>
      <c r="AA51" s="23">
        <f>7-18</f>
        <v>-11</v>
      </c>
      <c r="AB51" s="8">
        <v>74.25198491108964</v>
      </c>
      <c r="AC51" s="8">
        <v>72.3228723013423</v>
      </c>
      <c r="AD51" s="8">
        <v>27.6771276986577</v>
      </c>
      <c r="AE51" s="8">
        <v>0</v>
      </c>
      <c r="AF51" s="23">
        <f t="shared" si="1"/>
        <v>72.3228723013423</v>
      </c>
      <c r="AG51" s="8">
        <v>0</v>
      </c>
      <c r="AH51" s="23">
        <f>29-34</f>
        <v>-5</v>
      </c>
      <c r="AI51" s="8">
        <v>37.06207026270917</v>
      </c>
      <c r="AJ51" s="23">
        <f>26-42</f>
        <v>-16</v>
      </c>
      <c r="AK51" s="8">
        <v>32.30471694518967</v>
      </c>
      <c r="AL51" s="20">
        <v>-2.288</v>
      </c>
      <c r="AM51" s="23">
        <f>13-31</f>
        <v>-18</v>
      </c>
      <c r="AN51" s="8">
        <v>56.361617343429494</v>
      </c>
      <c r="AO51" s="23">
        <f>7-4</f>
        <v>3</v>
      </c>
      <c r="AP51" s="8">
        <v>89.24421591929416</v>
      </c>
      <c r="AQ51" s="23">
        <f>10-27</f>
        <v>-17</v>
      </c>
      <c r="AR51" s="8">
        <v>63.29000981869826</v>
      </c>
      <c r="AS51" s="8">
        <v>51.6840433495909</v>
      </c>
      <c r="AT51" s="8">
        <v>42.216090436771715</v>
      </c>
      <c r="AU51" s="8">
        <v>5.091443637266962</v>
      </c>
      <c r="AV51" s="23">
        <f t="shared" si="2"/>
        <v>46.59259971232394</v>
      </c>
      <c r="AW51" s="8">
        <v>1.0084225763704178</v>
      </c>
      <c r="AX51" s="23">
        <f>20-16</f>
        <v>4</v>
      </c>
      <c r="AY51" s="8">
        <v>63.28064470280958</v>
      </c>
      <c r="AZ51" s="23">
        <f>39-30</f>
        <v>9</v>
      </c>
      <c r="BA51" s="8">
        <v>31.743968289736895</v>
      </c>
      <c r="BB51" s="20">
        <v>-2.952</v>
      </c>
      <c r="BC51" s="23">
        <f>6-18</f>
        <v>-12</v>
      </c>
      <c r="BD51" s="8">
        <v>75.25507231039106</v>
      </c>
      <c r="BE51" s="23">
        <f>6-4</f>
        <v>2</v>
      </c>
      <c r="BF51" s="8">
        <v>90.75164329580038</v>
      </c>
      <c r="BG51" s="23">
        <f>6-18</f>
        <v>-12</v>
      </c>
      <c r="BH51" s="8">
        <v>75.26750765869207</v>
      </c>
      <c r="BI51" s="8">
        <v>55.89647428865243</v>
      </c>
      <c r="BJ51" s="8">
        <v>42.50737148152321</v>
      </c>
      <c r="BK51" s="8">
        <v>1.5750710562000854</v>
      </c>
      <c r="BL51" s="23">
        <f t="shared" si="3"/>
        <v>54.32140323245234</v>
      </c>
      <c r="BM51" s="8">
        <v>0.021083173624277172</v>
      </c>
      <c r="BN51" s="23">
        <f>31-27</f>
        <v>4</v>
      </c>
      <c r="BO51" s="8">
        <v>42.34046752774357</v>
      </c>
      <c r="BP51" s="23">
        <f>24-36</f>
        <v>-12</v>
      </c>
      <c r="BQ51" s="8">
        <v>39.367724136124735</v>
      </c>
      <c r="BR51" s="20">
        <v>-2.165</v>
      </c>
      <c r="BS51" s="23">
        <f>13-32</f>
        <v>-19</v>
      </c>
      <c r="BT51" s="8">
        <v>54.970717843039495</v>
      </c>
      <c r="BU51" s="23">
        <f>11-1</f>
        <v>10</v>
      </c>
      <c r="BV51" s="8">
        <v>87.43743037460021</v>
      </c>
      <c r="BW51" s="23">
        <f>14-21</f>
        <v>-7</v>
      </c>
      <c r="BX51" s="8">
        <v>65.43835295806278</v>
      </c>
      <c r="BY51" s="8">
        <v>41.304558432189786</v>
      </c>
      <c r="BZ51" s="8">
        <v>58.695441567810214</v>
      </c>
      <c r="CA51" s="8">
        <v>0</v>
      </c>
      <c r="CB51" s="23">
        <f t="shared" si="4"/>
        <v>41.304558432189786</v>
      </c>
      <c r="CC51" s="8">
        <v>0</v>
      </c>
      <c r="CD51" s="23">
        <f>24-21</f>
        <v>3</v>
      </c>
      <c r="CE51" s="8">
        <v>55.8875971910931</v>
      </c>
      <c r="CF51" s="23">
        <f>21-25</f>
        <v>-4</v>
      </c>
      <c r="CG51" s="8">
        <v>53.69361191642953</v>
      </c>
      <c r="CH51" s="20">
        <v>-1.876</v>
      </c>
      <c r="CI51" s="23">
        <f>7-33</f>
        <v>-26</v>
      </c>
      <c r="CJ51" s="8">
        <v>60.289085032830606</v>
      </c>
      <c r="CK51" s="23">
        <f>4-3</f>
        <v>1</v>
      </c>
      <c r="CL51" s="8">
        <v>93.20923453827888</v>
      </c>
      <c r="CM51" s="23">
        <f>7-24</f>
        <v>-17</v>
      </c>
      <c r="CN51" s="8">
        <v>69.28443733244491</v>
      </c>
      <c r="CO51" s="8">
        <v>33.82214970928925</v>
      </c>
      <c r="CP51" s="8">
        <v>64.61934990418364</v>
      </c>
      <c r="CQ51" s="8">
        <v>1.5585003865271085</v>
      </c>
      <c r="CR51" s="23">
        <f t="shared" si="5"/>
        <v>32.26364932276214</v>
      </c>
      <c r="CS51" s="8">
        <v>0</v>
      </c>
      <c r="CT51" s="23">
        <f>39-35</f>
        <v>4</v>
      </c>
      <c r="CU51" s="8">
        <v>25.42842466314835</v>
      </c>
      <c r="CV51" s="23">
        <f>37-28</f>
        <v>9</v>
      </c>
      <c r="CW51" s="8">
        <v>35.831383124994026</v>
      </c>
      <c r="CX51" s="20">
        <v>-1.815</v>
      </c>
      <c r="CY51" s="23">
        <f>13-30</f>
        <v>-17</v>
      </c>
      <c r="CZ51" s="8">
        <v>57.3704488773067</v>
      </c>
      <c r="DA51" s="23">
        <f>5-1</f>
        <v>4</v>
      </c>
      <c r="DB51" s="8">
        <v>94.45584660545077</v>
      </c>
      <c r="DC51" s="23">
        <f>6-8</f>
        <v>-2</v>
      </c>
      <c r="DD51" s="8">
        <v>86.28485052086332</v>
      </c>
      <c r="DE51" s="8">
        <v>56.26357834925672</v>
      </c>
      <c r="DF51" s="8">
        <v>42.01655994267786</v>
      </c>
      <c r="DG51" s="8">
        <v>1.7198617080654195</v>
      </c>
      <c r="DH51" s="23">
        <f t="shared" si="6"/>
        <v>54.543716641191295</v>
      </c>
      <c r="DI51" s="8">
        <v>0</v>
      </c>
      <c r="DJ51" s="23">
        <f>46-20</f>
        <v>26</v>
      </c>
      <c r="DK51" s="8">
        <v>33.31569245726861</v>
      </c>
      <c r="DL51" s="23">
        <f>38-32</f>
        <v>6</v>
      </c>
      <c r="DM51" s="8">
        <v>30.209759205739235</v>
      </c>
      <c r="DN51" s="20">
        <v>-2.391</v>
      </c>
      <c r="DO51" s="23">
        <f>9-40</f>
        <v>-31</v>
      </c>
      <c r="DP51" s="8">
        <v>50.23320174190251</v>
      </c>
      <c r="DQ51" s="23">
        <f>5-1</f>
        <v>4</v>
      </c>
      <c r="DR51" s="8">
        <v>93.251651198726</v>
      </c>
      <c r="DS51" s="23">
        <f>8-26</f>
        <v>-18</v>
      </c>
      <c r="DT51" s="8">
        <v>66.06482232290548</v>
      </c>
      <c r="DU51" s="8">
        <v>28.009933992179036</v>
      </c>
      <c r="DV51" s="8">
        <v>69.00331601233538</v>
      </c>
      <c r="DW51" s="8">
        <v>2.220608404711151</v>
      </c>
      <c r="DX51" s="23">
        <f t="shared" si="7"/>
        <v>25.789325587467886</v>
      </c>
      <c r="DY51" s="8">
        <v>0.7661415907744403</v>
      </c>
      <c r="DZ51" s="23">
        <f>28-26</f>
        <v>2</v>
      </c>
      <c r="EA51" s="8">
        <v>46.27364468506687</v>
      </c>
      <c r="EB51" s="23">
        <f>18-41</f>
        <v>-23</v>
      </c>
      <c r="EC51" s="8">
        <v>41.412717579219304</v>
      </c>
      <c r="ED51" s="20">
        <v>-3.504</v>
      </c>
      <c r="EE51" s="23">
        <f>18-33</f>
        <v>-15</v>
      </c>
      <c r="EF51" s="8">
        <v>48.72537575187025</v>
      </c>
      <c r="EG51" s="23">
        <f>10-7</f>
        <v>3</v>
      </c>
      <c r="EH51" s="8">
        <v>82.75372343604785</v>
      </c>
      <c r="EI51" s="23">
        <f>9-29</f>
        <v>-20</v>
      </c>
      <c r="EJ51" s="8">
        <v>62.42606977245693</v>
      </c>
      <c r="EK51" s="8">
        <v>32.6714467172201</v>
      </c>
      <c r="EL51" s="8">
        <v>64.91734235738446</v>
      </c>
      <c r="EM51" s="8">
        <v>2.3828339827624467</v>
      </c>
      <c r="EN51" s="23">
        <f t="shared" si="8"/>
        <v>30.288612734457654</v>
      </c>
      <c r="EO51" s="8">
        <v>0.028376942633002857</v>
      </c>
      <c r="EP51" s="23">
        <f>35-23</f>
        <v>12</v>
      </c>
      <c r="EQ51" s="8">
        <v>42.92393177930751</v>
      </c>
      <c r="ER51" s="23">
        <f>31-30</f>
        <v>1</v>
      </c>
      <c r="ES51" s="8">
        <v>38.73272638323575</v>
      </c>
      <c r="ET51" s="20">
        <v>-2.187</v>
      </c>
      <c r="EU51" s="23">
        <f>13-33</f>
        <v>-20</v>
      </c>
      <c r="EV51" s="8">
        <v>54.70414984317134</v>
      </c>
      <c r="EW51" s="23">
        <f>6-3</f>
        <v>3</v>
      </c>
      <c r="EX51" s="8">
        <v>91.11396634797356</v>
      </c>
      <c r="EY51" s="23">
        <f>10-20</f>
        <v>-10</v>
      </c>
      <c r="EZ51" s="8">
        <v>70.56057171977379</v>
      </c>
      <c r="FA51" s="8">
        <v>52.768372967354026</v>
      </c>
      <c r="FB51" s="8">
        <v>51.93015978404187</v>
      </c>
      <c r="FC51" s="8">
        <v>2.0090387303027604</v>
      </c>
      <c r="FD51" s="23">
        <f t="shared" si="9"/>
        <v>50.75933423705126</v>
      </c>
      <c r="FE51" s="8">
        <v>0.2924285183013496</v>
      </c>
      <c r="FF51" s="23">
        <f>24-29</f>
        <v>-5</v>
      </c>
      <c r="FG51" s="8">
        <v>47.09798559563645</v>
      </c>
      <c r="FH51" s="23">
        <f>18-35</f>
        <v>-17</v>
      </c>
      <c r="FI51" s="8">
        <v>46.777870338424314</v>
      </c>
      <c r="FJ51" s="20">
        <v>-3.799</v>
      </c>
      <c r="FK51" s="23">
        <f>18-29</f>
        <v>-11</v>
      </c>
      <c r="FL51" s="8">
        <v>53.381923114541806</v>
      </c>
      <c r="FM51" s="23">
        <f>12-6</f>
        <v>6</v>
      </c>
      <c r="FN51" s="8">
        <v>82.2119882079733</v>
      </c>
      <c r="FO51" s="23">
        <f>15-23</f>
        <v>-8</v>
      </c>
      <c r="FP51" s="8">
        <v>61.85650010843188</v>
      </c>
      <c r="FQ51" s="8">
        <v>45.306561586510874</v>
      </c>
      <c r="FR51" s="8">
        <v>50.9190072702762</v>
      </c>
      <c r="FS51" s="8">
        <v>3.203982208094411</v>
      </c>
      <c r="FT51" s="112">
        <f>FQ51-FS51</f>
        <v>42.102579378416465</v>
      </c>
      <c r="FU51" s="23">
        <v>0.5704489351185171</v>
      </c>
    </row>
    <row r="52" spans="1:177" ht="12">
      <c r="A52" s="1" t="s">
        <v>9</v>
      </c>
      <c r="B52" s="24">
        <f aca="true" t="shared" si="77" ref="B52:O52">AVERAGE(B48:B51)</f>
        <v>-0.5</v>
      </c>
      <c r="C52" s="13">
        <f t="shared" si="77"/>
        <v>31.368834332301624</v>
      </c>
      <c r="D52" s="24">
        <f t="shared" si="77"/>
        <v>-1.25</v>
      </c>
      <c r="E52" s="13">
        <f t="shared" si="77"/>
        <v>29.45666529897307</v>
      </c>
      <c r="F52" s="21">
        <f t="shared" si="77"/>
        <v>-2.6762499999999996</v>
      </c>
      <c r="G52" s="24">
        <f t="shared" si="77"/>
        <v>0.5</v>
      </c>
      <c r="H52" s="13">
        <f t="shared" si="77"/>
        <v>46.48125930815425</v>
      </c>
      <c r="I52" s="24">
        <f t="shared" si="77"/>
        <v>4.5</v>
      </c>
      <c r="J52" s="13">
        <f t="shared" si="77"/>
        <v>90.54369150318661</v>
      </c>
      <c r="K52" s="24">
        <f t="shared" si="77"/>
        <v>-0.5</v>
      </c>
      <c r="L52" s="13">
        <f t="shared" si="77"/>
        <v>61.836394977667666</v>
      </c>
      <c r="M52" s="13">
        <f t="shared" si="77"/>
        <v>44.19408677250439</v>
      </c>
      <c r="N52" s="13">
        <f t="shared" si="77"/>
        <v>52.674006723600584</v>
      </c>
      <c r="O52" s="13">
        <f t="shared" si="77"/>
        <v>2.298688701693313</v>
      </c>
      <c r="P52" s="24">
        <f t="shared" si="0"/>
        <v>41.895398070811076</v>
      </c>
      <c r="Q52" s="13">
        <f aca="true" t="shared" si="78" ref="Q52:AE52">AVERAGE(Q48:Q51)</f>
        <v>0.8332178022017207</v>
      </c>
      <c r="R52" s="24">
        <f t="shared" si="78"/>
        <v>-12</v>
      </c>
      <c r="S52" s="13">
        <f t="shared" si="78"/>
        <v>50.27184042313702</v>
      </c>
      <c r="T52" s="24">
        <f t="shared" si="78"/>
        <v>-14.5</v>
      </c>
      <c r="U52" s="13">
        <f t="shared" si="78"/>
        <v>41.59482838571497</v>
      </c>
      <c r="V52" s="21">
        <f t="shared" si="78"/>
        <v>-1.9547499999999998</v>
      </c>
      <c r="W52" s="24">
        <f t="shared" si="78"/>
        <v>5.75</v>
      </c>
      <c r="X52" s="13">
        <f t="shared" si="78"/>
        <v>53.72936851290128</v>
      </c>
      <c r="Y52" s="24">
        <f t="shared" si="78"/>
        <v>3.75</v>
      </c>
      <c r="Z52" s="13">
        <f t="shared" si="78"/>
        <v>91.59245037097975</v>
      </c>
      <c r="AA52" s="24">
        <f t="shared" si="78"/>
        <v>4.5</v>
      </c>
      <c r="AB52" s="13">
        <f t="shared" si="78"/>
        <v>61.269213670275285</v>
      </c>
      <c r="AC52" s="13">
        <f t="shared" si="78"/>
        <v>61.05734396750821</v>
      </c>
      <c r="AD52" s="13">
        <f t="shared" si="78"/>
        <v>37.64422211938329</v>
      </c>
      <c r="AE52" s="13">
        <f t="shared" si="78"/>
        <v>0.815525036495902</v>
      </c>
      <c r="AF52" s="24">
        <f t="shared" si="1"/>
        <v>60.24181893101231</v>
      </c>
      <c r="AG52" s="13">
        <f aca="true" t="shared" si="79" ref="AG52:AU52">AVERAGE(AG48:AG51)</f>
        <v>0.48290887661259707</v>
      </c>
      <c r="AH52" s="24">
        <f t="shared" si="79"/>
        <v>-18.75</v>
      </c>
      <c r="AI52" s="13">
        <f t="shared" si="79"/>
        <v>37.19262377708826</v>
      </c>
      <c r="AJ52" s="24">
        <f t="shared" si="79"/>
        <v>-16.75</v>
      </c>
      <c r="AK52" s="13">
        <f t="shared" si="79"/>
        <v>30.926239264128025</v>
      </c>
      <c r="AL52" s="21">
        <f t="shared" si="79"/>
        <v>-3.09825</v>
      </c>
      <c r="AM52" s="24">
        <f t="shared" si="79"/>
        <v>-5</v>
      </c>
      <c r="AN52" s="13">
        <f t="shared" si="79"/>
        <v>52.94907119100345</v>
      </c>
      <c r="AO52" s="24">
        <f t="shared" si="79"/>
        <v>8</v>
      </c>
      <c r="AP52" s="13">
        <f t="shared" si="79"/>
        <v>84.57653471939113</v>
      </c>
      <c r="AQ52" s="24">
        <f t="shared" si="79"/>
        <v>-5.75</v>
      </c>
      <c r="AR52" s="13">
        <f t="shared" si="79"/>
        <v>59.75597588747698</v>
      </c>
      <c r="AS52" s="13">
        <f t="shared" si="79"/>
        <v>46.82978604890305</v>
      </c>
      <c r="AT52" s="13">
        <f t="shared" si="79"/>
        <v>50.304918520617626</v>
      </c>
      <c r="AU52" s="13">
        <f t="shared" si="79"/>
        <v>2.1776901822409296</v>
      </c>
      <c r="AV52" s="24">
        <f t="shared" si="2"/>
        <v>44.65209586666212</v>
      </c>
      <c r="AW52" s="13">
        <f aca="true" t="shared" si="80" ref="AW52:BK52">AVERAGE(AW48:AW51)</f>
        <v>0.6876052482383841</v>
      </c>
      <c r="AX52" s="24">
        <f t="shared" si="80"/>
        <v>-16.25</v>
      </c>
      <c r="AY52" s="13">
        <f t="shared" si="80"/>
        <v>47.993482774904386</v>
      </c>
      <c r="AZ52" s="24">
        <f t="shared" si="80"/>
        <v>-28.75</v>
      </c>
      <c r="BA52" s="13">
        <f t="shared" si="80"/>
        <v>29.095051113458457</v>
      </c>
      <c r="BB52" s="21">
        <f t="shared" si="80"/>
        <v>-4.11625</v>
      </c>
      <c r="BC52" s="24">
        <f t="shared" si="80"/>
        <v>-3</v>
      </c>
      <c r="BD52" s="13">
        <f t="shared" si="80"/>
        <v>67.38652844268103</v>
      </c>
      <c r="BE52" s="24">
        <f t="shared" si="80"/>
        <v>12.5</v>
      </c>
      <c r="BF52" s="13">
        <f t="shared" si="80"/>
        <v>82.97715523970614</v>
      </c>
      <c r="BG52" s="24">
        <f t="shared" si="80"/>
        <v>-6.5</v>
      </c>
      <c r="BH52" s="13">
        <f t="shared" si="80"/>
        <v>69.08299636932017</v>
      </c>
      <c r="BI52" s="13">
        <f t="shared" si="80"/>
        <v>43.42335017163484</v>
      </c>
      <c r="BJ52" s="13">
        <f t="shared" si="80"/>
        <v>54.239077163714526</v>
      </c>
      <c r="BK52" s="13">
        <f t="shared" si="80"/>
        <v>2.2500257450767087</v>
      </c>
      <c r="BL52" s="24">
        <f t="shared" si="3"/>
        <v>41.173324426558125</v>
      </c>
      <c r="BM52" s="13">
        <f aca="true" t="shared" si="81" ref="BM52:CA52">AVERAGE(BM48:BM51)</f>
        <v>0.08754691957393466</v>
      </c>
      <c r="BN52" s="24">
        <f t="shared" si="81"/>
        <v>-18.5</v>
      </c>
      <c r="BO52" s="13">
        <f t="shared" si="81"/>
        <v>42.950742895937736</v>
      </c>
      <c r="BP52" s="24">
        <f t="shared" si="81"/>
        <v>-17.5</v>
      </c>
      <c r="BQ52" s="13">
        <f t="shared" si="81"/>
        <v>37.393482884646026</v>
      </c>
      <c r="BR52" s="21">
        <f t="shared" si="81"/>
        <v>-2.80675</v>
      </c>
      <c r="BS52" s="24">
        <f t="shared" si="81"/>
        <v>-5.75</v>
      </c>
      <c r="BT52" s="13">
        <f t="shared" si="81"/>
        <v>57.565093431360495</v>
      </c>
      <c r="BU52" s="24">
        <f t="shared" si="81"/>
        <v>5.25</v>
      </c>
      <c r="BV52" s="13">
        <f t="shared" si="81"/>
        <v>86.06982547176133</v>
      </c>
      <c r="BW52" s="24">
        <f t="shared" si="81"/>
        <v>-6.5</v>
      </c>
      <c r="BX52" s="13">
        <f t="shared" si="81"/>
        <v>63.11791997531202</v>
      </c>
      <c r="BY52" s="13">
        <f t="shared" si="81"/>
        <v>31.877765888841232</v>
      </c>
      <c r="BZ52" s="13">
        <f t="shared" si="81"/>
        <v>65.48120883189253</v>
      </c>
      <c r="CA52" s="13">
        <f t="shared" si="81"/>
        <v>2.2690583389512855</v>
      </c>
      <c r="CB52" s="24">
        <f t="shared" si="4"/>
        <v>29.608707549889946</v>
      </c>
      <c r="CC52" s="13">
        <f aca="true" t="shared" si="82" ref="CC52:CQ52">AVERAGE(CC48:CC51)</f>
        <v>0.3719669403149511</v>
      </c>
      <c r="CD52" s="24">
        <f t="shared" si="82"/>
        <v>-18.25</v>
      </c>
      <c r="CE52" s="13">
        <f t="shared" si="82"/>
        <v>52.80181545223102</v>
      </c>
      <c r="CF52" s="24">
        <f t="shared" si="82"/>
        <v>-22</v>
      </c>
      <c r="CG52" s="13">
        <f t="shared" si="82"/>
        <v>42.88866101048159</v>
      </c>
      <c r="CH52" s="21">
        <f t="shared" si="82"/>
        <v>-3.853</v>
      </c>
      <c r="CI52" s="24">
        <f t="shared" si="82"/>
        <v>-2.75</v>
      </c>
      <c r="CJ52" s="13">
        <f t="shared" si="82"/>
        <v>57.100331283854146</v>
      </c>
      <c r="CK52" s="24">
        <f t="shared" si="82"/>
        <v>5.25</v>
      </c>
      <c r="CL52" s="13">
        <f t="shared" si="82"/>
        <v>77.57825085206528</v>
      </c>
      <c r="CM52" s="24">
        <f t="shared" si="82"/>
        <v>-9</v>
      </c>
      <c r="CN52" s="13">
        <f t="shared" si="82"/>
        <v>63.0644319874344</v>
      </c>
      <c r="CO52" s="13">
        <f t="shared" si="82"/>
        <v>40.70099044655711</v>
      </c>
      <c r="CP52" s="13">
        <f t="shared" si="82"/>
        <v>55.88542949601029</v>
      </c>
      <c r="CQ52" s="13">
        <f t="shared" si="82"/>
        <v>2.742205725131263</v>
      </c>
      <c r="CR52" s="24">
        <f t="shared" si="5"/>
        <v>37.95878472142584</v>
      </c>
      <c r="CS52" s="13">
        <f aca="true" t="shared" si="83" ref="CS52:DG52">AVERAGE(CS48:CS51)</f>
        <v>0.671374332301329</v>
      </c>
      <c r="CT52" s="24">
        <f t="shared" si="83"/>
        <v>4.25</v>
      </c>
      <c r="CU52" s="13">
        <f t="shared" si="83"/>
        <v>37.314569241758946</v>
      </c>
      <c r="CV52" s="24">
        <f t="shared" si="83"/>
        <v>-3.25</v>
      </c>
      <c r="CW52" s="13">
        <f t="shared" si="83"/>
        <v>33.92511281546607</v>
      </c>
      <c r="CX52" s="21">
        <f t="shared" si="83"/>
        <v>-2.0585</v>
      </c>
      <c r="CY52" s="24">
        <f t="shared" si="83"/>
        <v>6.5</v>
      </c>
      <c r="CZ52" s="13">
        <f t="shared" si="83"/>
        <v>53.03298838732528</v>
      </c>
      <c r="DA52" s="24">
        <f t="shared" si="83"/>
        <v>4.75</v>
      </c>
      <c r="DB52" s="13">
        <f t="shared" si="83"/>
        <v>90.35486481067562</v>
      </c>
      <c r="DC52" s="24">
        <f t="shared" si="83"/>
        <v>1.5</v>
      </c>
      <c r="DD52" s="13">
        <f t="shared" si="83"/>
        <v>65.05095813799872</v>
      </c>
      <c r="DE52" s="13">
        <f t="shared" si="83"/>
        <v>39.49027111918629</v>
      </c>
      <c r="DF52" s="13">
        <f t="shared" si="83"/>
        <v>58.68318317924823</v>
      </c>
      <c r="DG52" s="13">
        <f t="shared" si="83"/>
        <v>0.9115466144655895</v>
      </c>
      <c r="DH52" s="24">
        <f t="shared" si="6"/>
        <v>38.5787245047207</v>
      </c>
      <c r="DI52" s="13">
        <f aca="true" t="shared" si="84" ref="DI52:DW52">AVERAGE(DI48:DI51)</f>
        <v>0.9149990870998825</v>
      </c>
      <c r="DJ52" s="24">
        <f t="shared" si="84"/>
        <v>-9</v>
      </c>
      <c r="DK52" s="13">
        <f t="shared" si="84"/>
        <v>42.42499249464123</v>
      </c>
      <c r="DL52" s="24">
        <f t="shared" si="84"/>
        <v>-8.5</v>
      </c>
      <c r="DM52" s="13">
        <f t="shared" si="84"/>
        <v>36.566535077304636</v>
      </c>
      <c r="DN52" s="21">
        <f t="shared" si="84"/>
        <v>-2.4735</v>
      </c>
      <c r="DO52" s="24">
        <f t="shared" si="84"/>
        <v>-5.5</v>
      </c>
      <c r="DP52" s="13">
        <f t="shared" si="84"/>
        <v>57.41797285656357</v>
      </c>
      <c r="DQ52" s="24">
        <f t="shared" si="84"/>
        <v>11.25</v>
      </c>
      <c r="DR52" s="13">
        <f t="shared" si="84"/>
        <v>89.72276555502489</v>
      </c>
      <c r="DS52" s="24">
        <f t="shared" si="84"/>
        <v>-5.5</v>
      </c>
      <c r="DT52" s="13">
        <f t="shared" si="84"/>
        <v>62.9392714118809</v>
      </c>
      <c r="DU52" s="13">
        <f t="shared" si="84"/>
        <v>26.27125407940219</v>
      </c>
      <c r="DV52" s="13">
        <f t="shared" si="84"/>
        <v>71.31148509389317</v>
      </c>
      <c r="DW52" s="13">
        <f t="shared" si="84"/>
        <v>1.4396672315260635</v>
      </c>
      <c r="DX52" s="24">
        <f t="shared" si="7"/>
        <v>24.831586847876128</v>
      </c>
      <c r="DY52" s="13">
        <f aca="true" t="shared" si="85" ref="DY52:EM52">AVERAGE(DY48:DY51)</f>
        <v>0.9775935951785801</v>
      </c>
      <c r="DZ52" s="24">
        <f t="shared" si="85"/>
        <v>-14</v>
      </c>
      <c r="EA52" s="13">
        <f t="shared" si="85"/>
        <v>52.65613070672023</v>
      </c>
      <c r="EB52" s="24">
        <f t="shared" si="85"/>
        <v>-26.25</v>
      </c>
      <c r="EC52" s="13">
        <f t="shared" si="85"/>
        <v>46.14469551241675</v>
      </c>
      <c r="ED52" s="21">
        <f t="shared" si="85"/>
        <v>-3.4185</v>
      </c>
      <c r="EE52" s="24">
        <f t="shared" si="85"/>
        <v>1.75</v>
      </c>
      <c r="EF52" s="13">
        <f t="shared" si="85"/>
        <v>53.40806943647085</v>
      </c>
      <c r="EG52" s="24">
        <f t="shared" si="85"/>
        <v>8</v>
      </c>
      <c r="EH52" s="13">
        <f t="shared" si="85"/>
        <v>84.82290740213476</v>
      </c>
      <c r="EI52" s="24">
        <f t="shared" si="85"/>
        <v>-5</v>
      </c>
      <c r="EJ52" s="13">
        <f t="shared" si="85"/>
        <v>59.876108509285174</v>
      </c>
      <c r="EK52" s="13">
        <f t="shared" si="85"/>
        <v>28.46091514749589</v>
      </c>
      <c r="EL52" s="13">
        <f t="shared" si="85"/>
        <v>68.40055099909097</v>
      </c>
      <c r="EM52" s="13">
        <f t="shared" si="85"/>
        <v>2.8440728257275185</v>
      </c>
      <c r="EN52" s="24">
        <f t="shared" si="8"/>
        <v>25.61684232176837</v>
      </c>
      <c r="EO52" s="13">
        <f aca="true" t="shared" si="86" ref="EO52:FC52">AVERAGE(EO48:EO51)</f>
        <v>0.29446102768563776</v>
      </c>
      <c r="EP52" s="24">
        <f t="shared" si="86"/>
        <v>-10</v>
      </c>
      <c r="EQ52" s="13">
        <f t="shared" si="86"/>
        <v>41.728015519372335</v>
      </c>
      <c r="ER52" s="24">
        <f t="shared" si="86"/>
        <v>-13.25</v>
      </c>
      <c r="ES52" s="13">
        <f t="shared" si="86"/>
        <v>34.597457292226125</v>
      </c>
      <c r="ET52" s="21">
        <f t="shared" si="86"/>
        <v>-2.93125</v>
      </c>
      <c r="EU52" s="24">
        <f t="shared" si="86"/>
        <v>-0.75</v>
      </c>
      <c r="EV52" s="13">
        <f t="shared" si="86"/>
        <v>54.604968102251746</v>
      </c>
      <c r="EW52" s="24">
        <f t="shared" si="86"/>
        <v>6.25</v>
      </c>
      <c r="EX52" s="13">
        <f t="shared" si="86"/>
        <v>87.27190535821342</v>
      </c>
      <c r="EY52" s="24">
        <f t="shared" si="86"/>
        <v>-3</v>
      </c>
      <c r="EZ52" s="13">
        <f t="shared" si="86"/>
        <v>63.167191378782306</v>
      </c>
      <c r="FA52" s="13">
        <f t="shared" si="86"/>
        <v>41.89495341264719</v>
      </c>
      <c r="FB52" s="13">
        <f t="shared" si="86"/>
        <v>57.200944416859095</v>
      </c>
      <c r="FC52" s="13">
        <f t="shared" si="86"/>
        <v>2.043335999629195</v>
      </c>
      <c r="FD52" s="24">
        <f t="shared" si="9"/>
        <v>39.851617413018</v>
      </c>
      <c r="FE52" s="13">
        <f aca="true" t="shared" si="87" ref="FE52:FU52">AVERAGE(FE48:FE51)</f>
        <v>0.61076617086452</v>
      </c>
      <c r="FF52" s="24">
        <f t="shared" si="87"/>
        <v>-18.25</v>
      </c>
      <c r="FG52" s="13">
        <f t="shared" si="87"/>
        <v>44.47253967743458</v>
      </c>
      <c r="FH52" s="24">
        <f t="shared" si="87"/>
        <v>-24.25</v>
      </c>
      <c r="FI52" s="13">
        <f t="shared" si="87"/>
        <v>43.165653483538335</v>
      </c>
      <c r="FJ52" s="21">
        <f t="shared" si="87"/>
        <v>-4.3405</v>
      </c>
      <c r="FK52" s="24">
        <f t="shared" si="87"/>
        <v>0.5</v>
      </c>
      <c r="FL52" s="13">
        <f t="shared" si="87"/>
        <v>51.99942137692105</v>
      </c>
      <c r="FM52" s="24">
        <f t="shared" si="87"/>
        <v>8.25</v>
      </c>
      <c r="FN52" s="13">
        <f t="shared" si="87"/>
        <v>83.92856444721525</v>
      </c>
      <c r="FO52" s="24">
        <f t="shared" si="87"/>
        <v>-3.25</v>
      </c>
      <c r="FP52" s="13">
        <f t="shared" si="87"/>
        <v>55.37873445985227</v>
      </c>
      <c r="FQ52" s="13">
        <f t="shared" si="87"/>
        <v>38.27365088660087</v>
      </c>
      <c r="FR52" s="13">
        <f t="shared" si="87"/>
        <v>57.87505557796521</v>
      </c>
      <c r="FS52" s="13">
        <f t="shared" si="87"/>
        <v>2.6701291239592266</v>
      </c>
      <c r="FT52" s="13">
        <f t="shared" si="87"/>
        <v>35.60352176264165</v>
      </c>
      <c r="FU52" s="13">
        <f t="shared" si="87"/>
        <v>1.181164411474691</v>
      </c>
    </row>
    <row r="53" spans="1:177" ht="12">
      <c r="A53" s="1" t="s">
        <v>67</v>
      </c>
      <c r="B53" s="23">
        <f>28-31</f>
        <v>-3</v>
      </c>
      <c r="C53" s="8">
        <v>41.33926649614313</v>
      </c>
      <c r="D53" s="23">
        <f>35-32</f>
        <v>3</v>
      </c>
      <c r="E53" s="8">
        <v>32.49056670495498</v>
      </c>
      <c r="F53" s="20">
        <v>-0.191</v>
      </c>
      <c r="G53" s="23">
        <f>61-6</f>
        <v>55</v>
      </c>
      <c r="H53" s="8">
        <v>33.244375815640254</v>
      </c>
      <c r="I53" s="23">
        <f>6-1</f>
        <v>5</v>
      </c>
      <c r="J53" s="8">
        <v>92.92529607106924</v>
      </c>
      <c r="K53" s="23">
        <f>56-6</f>
        <v>50</v>
      </c>
      <c r="L53" s="8">
        <v>37.212839104521414</v>
      </c>
      <c r="M53" s="8">
        <v>57.618929504988</v>
      </c>
      <c r="N53" s="8">
        <v>41.07174655741706</v>
      </c>
      <c r="O53" s="8">
        <v>1.3093239375949428</v>
      </c>
      <c r="P53" s="23">
        <f t="shared" si="0"/>
        <v>56.30960556739306</v>
      </c>
      <c r="Q53" s="8">
        <v>0</v>
      </c>
      <c r="R53" s="23">
        <f>22-40</f>
        <v>-18</v>
      </c>
      <c r="S53" s="8">
        <v>37.74904870410651</v>
      </c>
      <c r="T53" s="23">
        <f>39-25</f>
        <v>14</v>
      </c>
      <c r="U53" s="8">
        <v>36.098755487922276</v>
      </c>
      <c r="V53" s="20">
        <v>-1.757</v>
      </c>
      <c r="W53" s="23">
        <f>42-10</f>
        <v>32</v>
      </c>
      <c r="X53" s="8">
        <v>47.582757373747754</v>
      </c>
      <c r="Y53" s="23">
        <f>7-4</f>
        <v>3</v>
      </c>
      <c r="Z53" s="8">
        <v>89.02389779792749</v>
      </c>
      <c r="AA53" s="23">
        <f>41-11</f>
        <v>30</v>
      </c>
      <c r="AB53" s="8">
        <v>47.385773413495116</v>
      </c>
      <c r="AC53" s="8">
        <v>51.35822908153999</v>
      </c>
      <c r="AD53" s="8">
        <v>44.33577182381159</v>
      </c>
      <c r="AE53" s="8">
        <v>4.305999094648424</v>
      </c>
      <c r="AF53" s="23">
        <f t="shared" si="1"/>
        <v>47.05222998689156</v>
      </c>
      <c r="AG53" s="8">
        <v>0</v>
      </c>
      <c r="AH53" s="23">
        <f>17-42</f>
        <v>-25</v>
      </c>
      <c r="AI53" s="8">
        <v>40.64033187593895</v>
      </c>
      <c r="AJ53" s="23">
        <f>33-33</f>
        <v>0</v>
      </c>
      <c r="AK53" s="8">
        <v>33.239582769492095</v>
      </c>
      <c r="AL53" s="20">
        <v>-0.651</v>
      </c>
      <c r="AM53" s="23">
        <f>53-12</f>
        <v>41</v>
      </c>
      <c r="AN53" s="8">
        <v>34.83620455741463</v>
      </c>
      <c r="AO53" s="23">
        <f>10-8</f>
        <v>2</v>
      </c>
      <c r="AP53" s="8">
        <v>82.26088640013188</v>
      </c>
      <c r="AQ53" s="23">
        <f>51-13</f>
        <v>38</v>
      </c>
      <c r="AR53" s="8">
        <v>35.816674065810645</v>
      </c>
      <c r="AS53" s="8">
        <v>41.171062489531806</v>
      </c>
      <c r="AT53" s="8">
        <v>56.81122517281467</v>
      </c>
      <c r="AU53" s="8">
        <v>2.0177123376535233</v>
      </c>
      <c r="AV53" s="23">
        <f t="shared" si="2"/>
        <v>39.153350151878286</v>
      </c>
      <c r="AW53" s="8">
        <v>0</v>
      </c>
      <c r="AX53" s="23">
        <f>12-44</f>
        <v>-32</v>
      </c>
      <c r="AY53" s="8">
        <v>44.72612247324908</v>
      </c>
      <c r="AZ53" s="23">
        <f>29-28</f>
        <v>1</v>
      </c>
      <c r="BA53" s="8">
        <v>42.88969430177317</v>
      </c>
      <c r="BB53" s="20">
        <v>-0.946</v>
      </c>
      <c r="BC53" s="23">
        <f>36-8</f>
        <v>28</v>
      </c>
      <c r="BD53" s="8">
        <v>55.692484421035616</v>
      </c>
      <c r="BE53" s="23">
        <f>10-3</f>
        <v>7</v>
      </c>
      <c r="BF53" s="8">
        <v>86.733780017027</v>
      </c>
      <c r="BG53" s="23">
        <f>34-11</f>
        <v>23</v>
      </c>
      <c r="BH53" s="8">
        <v>55.414075499520976</v>
      </c>
      <c r="BI53" s="8">
        <v>29.997970211333413</v>
      </c>
      <c r="BJ53" s="8">
        <v>68.77139957557374</v>
      </c>
      <c r="BK53" s="8">
        <v>1.2306302130928386</v>
      </c>
      <c r="BL53" s="23">
        <f t="shared" si="3"/>
        <v>28.767339998240576</v>
      </c>
      <c r="BM53" s="8">
        <v>0</v>
      </c>
      <c r="BN53" s="23">
        <f>22-29</f>
        <v>-7</v>
      </c>
      <c r="BO53" s="8">
        <v>49.499237792729076</v>
      </c>
      <c r="BP53" s="23">
        <f>42-25</f>
        <v>17</v>
      </c>
      <c r="BQ53" s="8">
        <v>32.745056330622155</v>
      </c>
      <c r="BR53" s="20">
        <v>-0.28</v>
      </c>
      <c r="BS53" s="23">
        <f>46-7</f>
        <v>39</v>
      </c>
      <c r="BT53" s="8">
        <v>46.96966479385979</v>
      </c>
      <c r="BU53" s="23">
        <f>12-2</f>
        <v>10</v>
      </c>
      <c r="BV53" s="8">
        <v>86.02758871268973</v>
      </c>
      <c r="BW53" s="23">
        <f>37-10</f>
        <v>27</v>
      </c>
      <c r="BX53" s="8">
        <v>53.78911223994825</v>
      </c>
      <c r="BY53" s="8">
        <v>49.567436968144804</v>
      </c>
      <c r="BZ53" s="8">
        <v>48.98781127960128</v>
      </c>
      <c r="CA53" s="8">
        <v>0.9520899325481013</v>
      </c>
      <c r="CB53" s="23">
        <f t="shared" si="4"/>
        <v>48.615347035596706</v>
      </c>
      <c r="CC53" s="8">
        <v>0.49266181970580886</v>
      </c>
      <c r="CD53" s="23">
        <f>20-48</f>
        <v>-28</v>
      </c>
      <c r="CE53" s="8">
        <v>32.269100943931385</v>
      </c>
      <c r="CF53" s="23">
        <f>40-30</f>
        <v>10</v>
      </c>
      <c r="CG53" s="8">
        <v>30.86443049321942</v>
      </c>
      <c r="CH53" s="20">
        <v>-0.055</v>
      </c>
      <c r="CI53" s="23">
        <f>47-6</f>
        <v>41</v>
      </c>
      <c r="CJ53" s="8">
        <v>47.037710881598045</v>
      </c>
      <c r="CK53" s="23">
        <f>5-4</f>
        <v>1</v>
      </c>
      <c r="CL53" s="8">
        <v>91.13391098342689</v>
      </c>
      <c r="CM53" s="23">
        <f>41-4</f>
        <v>37</v>
      </c>
      <c r="CN53" s="8">
        <v>55.68234668350587</v>
      </c>
      <c r="CO53" s="8">
        <v>46.74903244456127</v>
      </c>
      <c r="CP53" s="8">
        <v>52.717291869469875</v>
      </c>
      <c r="CQ53" s="8">
        <v>0.5336756859688487</v>
      </c>
      <c r="CR53" s="23">
        <f t="shared" si="5"/>
        <v>46.21535675859242</v>
      </c>
      <c r="CS53" s="8">
        <v>0</v>
      </c>
      <c r="CT53" s="23">
        <f>10-44</f>
        <v>-34</v>
      </c>
      <c r="CU53" s="8">
        <v>46.24402041201739</v>
      </c>
      <c r="CV53" s="23">
        <f>23-38</f>
        <v>-15</v>
      </c>
      <c r="CW53" s="8">
        <v>39.63933896593741</v>
      </c>
      <c r="CX53" s="20">
        <v>-1.907</v>
      </c>
      <c r="CY53" s="23">
        <f>47-7</f>
        <v>40</v>
      </c>
      <c r="CZ53" s="8">
        <v>46.23816524700045</v>
      </c>
      <c r="DA53" s="23">
        <f>6-4</f>
        <v>2</v>
      </c>
      <c r="DB53" s="8">
        <v>90.514135477043</v>
      </c>
      <c r="DC53" s="23">
        <f>46-9</f>
        <v>37</v>
      </c>
      <c r="DD53" s="8">
        <v>44.73595124500183</v>
      </c>
      <c r="DE53" s="8">
        <v>36.13611664689017</v>
      </c>
      <c r="DF53" s="8">
        <v>61.72945277478564</v>
      </c>
      <c r="DG53" s="8">
        <v>1.5152794947166168</v>
      </c>
      <c r="DH53" s="23">
        <f t="shared" si="6"/>
        <v>34.62083715217356</v>
      </c>
      <c r="DI53" s="8">
        <v>0.6191510836075673</v>
      </c>
      <c r="DJ53" s="23">
        <f>30-40</f>
        <v>-10</v>
      </c>
      <c r="DK53" s="8">
        <v>29.887044173665263</v>
      </c>
      <c r="DL53" s="23">
        <f>33-28</f>
        <v>5</v>
      </c>
      <c r="DM53" s="8">
        <v>39.21512591289552</v>
      </c>
      <c r="DN53" s="20">
        <v>-0.978</v>
      </c>
      <c r="DO53" s="23">
        <f>31-12</f>
        <v>19</v>
      </c>
      <c r="DP53" s="8">
        <v>57.59728664285417</v>
      </c>
      <c r="DQ53" s="23">
        <f>8-2</f>
        <v>6</v>
      </c>
      <c r="DR53" s="8">
        <v>90.01302639597752</v>
      </c>
      <c r="DS53" s="23">
        <f>27-11</f>
        <v>16</v>
      </c>
      <c r="DT53" s="8">
        <v>61.30660178541268</v>
      </c>
      <c r="DU53" s="8">
        <v>25.69987132516829</v>
      </c>
      <c r="DV53" s="8">
        <v>73.40244316227002</v>
      </c>
      <c r="DW53" s="8">
        <v>0.8976855125616909</v>
      </c>
      <c r="DX53" s="23">
        <f t="shared" si="7"/>
        <v>24.8021858126066</v>
      </c>
      <c r="DY53" s="8">
        <v>0</v>
      </c>
      <c r="DZ53" s="23">
        <f>17-39</f>
        <v>-22</v>
      </c>
      <c r="EA53" s="8">
        <v>43.25799172134156</v>
      </c>
      <c r="EB53" s="23">
        <f>29-33</f>
        <v>-4</v>
      </c>
      <c r="EC53" s="8">
        <v>37.985840212380914</v>
      </c>
      <c r="ED53" s="20">
        <v>-1.717</v>
      </c>
      <c r="EE53" s="23">
        <f>47-11</f>
        <v>36</v>
      </c>
      <c r="EF53" s="8">
        <v>41.83036509013718</v>
      </c>
      <c r="EG53" s="23">
        <f>16-4</f>
        <v>12</v>
      </c>
      <c r="EH53" s="8">
        <v>79.61510062332862</v>
      </c>
      <c r="EI53" s="23">
        <f>39-6</f>
        <v>33</v>
      </c>
      <c r="EJ53" s="8">
        <v>54.34336464417766</v>
      </c>
      <c r="EK53" s="8">
        <v>44.20202734357994</v>
      </c>
      <c r="EL53" s="8">
        <v>55.2431480075448</v>
      </c>
      <c r="EM53" s="8">
        <v>0.5548246488752651</v>
      </c>
      <c r="EN53" s="23">
        <f t="shared" si="8"/>
        <v>43.647202694704674</v>
      </c>
      <c r="EO53" s="8">
        <v>0</v>
      </c>
      <c r="EP53" s="23">
        <f>21-38</f>
        <v>-17</v>
      </c>
      <c r="EQ53" s="8">
        <v>41.1722441321875</v>
      </c>
      <c r="ER53" s="23">
        <f>33-31</f>
        <v>2</v>
      </c>
      <c r="ES53" s="8">
        <v>36.05258682850484</v>
      </c>
      <c r="ET53" s="20">
        <v>-0.841</v>
      </c>
      <c r="EU53" s="23">
        <f>48-8</f>
        <v>40</v>
      </c>
      <c r="EV53" s="8">
        <v>44.19404241172837</v>
      </c>
      <c r="EW53" s="23">
        <f>8-3</f>
        <v>5</v>
      </c>
      <c r="EX53" s="8">
        <v>88.41762274380062</v>
      </c>
      <c r="EY53" s="23">
        <f>44-9</f>
        <v>35</v>
      </c>
      <c r="EZ53" s="8">
        <v>47.7252055258551</v>
      </c>
      <c r="FA53" s="8">
        <v>44.24822192837531</v>
      </c>
      <c r="FB53" s="8">
        <v>54.19513402114271</v>
      </c>
      <c r="FC53" s="8">
        <v>1.4560344736191975</v>
      </c>
      <c r="FD53" s="23">
        <f t="shared" si="9"/>
        <v>42.79218745475611</v>
      </c>
      <c r="FE53" s="8">
        <v>0.10060957686278442</v>
      </c>
      <c r="FF53" s="23">
        <f>9-41</f>
        <v>-32</v>
      </c>
      <c r="FG53" s="8">
        <v>49.74187488811991</v>
      </c>
      <c r="FH53" s="23">
        <f>18-33</f>
        <v>-15</v>
      </c>
      <c r="FI53" s="8">
        <v>49.182529148363976</v>
      </c>
      <c r="FJ53" s="20">
        <v>-2.523</v>
      </c>
      <c r="FK53" s="23">
        <f>31-9</f>
        <v>22</v>
      </c>
      <c r="FL53" s="8">
        <v>59.85540111631909</v>
      </c>
      <c r="FM53" s="23">
        <f>11-4</f>
        <v>7</v>
      </c>
      <c r="FN53" s="8">
        <v>85.05634805393524</v>
      </c>
      <c r="FO53" s="23">
        <f>26-13</f>
        <v>13</v>
      </c>
      <c r="FP53" s="8">
        <v>61.74420037001658</v>
      </c>
      <c r="FQ53" s="8">
        <v>35.043967533076184</v>
      </c>
      <c r="FR53" s="8">
        <v>60.60911762531707</v>
      </c>
      <c r="FS53" s="8">
        <v>3.709537588397571</v>
      </c>
      <c r="FT53" s="112">
        <f>FQ53-FS53</f>
        <v>31.334429944678615</v>
      </c>
      <c r="FU53" s="23">
        <v>0.6373772532091712</v>
      </c>
    </row>
    <row r="54" spans="1:177" ht="12">
      <c r="A54" s="1" t="s">
        <v>36</v>
      </c>
      <c r="B54" s="23">
        <f>30-17</f>
        <v>13</v>
      </c>
      <c r="C54" s="8">
        <v>52.710012555432115</v>
      </c>
      <c r="D54" s="23">
        <f>36-14</f>
        <v>22</v>
      </c>
      <c r="E54" s="8">
        <v>49.52109300927636</v>
      </c>
      <c r="F54" s="20">
        <v>0.3</v>
      </c>
      <c r="G54" s="23">
        <f>29-15</f>
        <v>14</v>
      </c>
      <c r="H54" s="8">
        <v>55.6095670574704</v>
      </c>
      <c r="I54" s="23">
        <f>4-2</f>
        <v>2</v>
      </c>
      <c r="J54" s="8">
        <v>94.39235615306455</v>
      </c>
      <c r="K54" s="23">
        <f>26-14</f>
        <v>12</v>
      </c>
      <c r="L54" s="8">
        <v>60.46068503955285</v>
      </c>
      <c r="M54" s="8">
        <v>39.667204802059324</v>
      </c>
      <c r="N54" s="8">
        <v>59.54784280777182</v>
      </c>
      <c r="O54" s="8">
        <v>0.4888821228946629</v>
      </c>
      <c r="P54" s="23">
        <f t="shared" si="0"/>
        <v>39.17832267916466</v>
      </c>
      <c r="Q54" s="8">
        <v>0.29607026727419683</v>
      </c>
      <c r="R54" s="23">
        <f>18-36</f>
        <v>-18</v>
      </c>
      <c r="S54" s="8">
        <v>45.99933288358476</v>
      </c>
      <c r="T54" s="23">
        <f>35-30</f>
        <v>5</v>
      </c>
      <c r="U54" s="8">
        <v>35.197513323417304</v>
      </c>
      <c r="V54" s="20">
        <v>-1.471</v>
      </c>
      <c r="W54" s="23">
        <f>23-16</f>
        <v>7</v>
      </c>
      <c r="X54" s="8">
        <v>60.322342606332654</v>
      </c>
      <c r="Y54" s="23">
        <f>9-4</f>
        <v>5</v>
      </c>
      <c r="Z54" s="8">
        <v>86.97214645503617</v>
      </c>
      <c r="AA54" s="23">
        <f>19-15</f>
        <v>4</v>
      </c>
      <c r="AB54" s="8">
        <v>65.45019388197616</v>
      </c>
      <c r="AC54" s="8">
        <v>58.58482199152828</v>
      </c>
      <c r="AD54" s="8">
        <v>39.635190382208904</v>
      </c>
      <c r="AE54" s="8">
        <v>1.7799876262628238</v>
      </c>
      <c r="AF54" s="23">
        <f t="shared" si="1"/>
        <v>56.80483436526546</v>
      </c>
      <c r="AG54" s="8">
        <v>0</v>
      </c>
      <c r="AH54" s="23">
        <f>21-30</f>
        <v>-9</v>
      </c>
      <c r="AI54" s="8">
        <v>48.61644977500213</v>
      </c>
      <c r="AJ54" s="23">
        <f>17-34</f>
        <v>-17</v>
      </c>
      <c r="AK54" s="8">
        <v>49.370521462336576</v>
      </c>
      <c r="AL54" s="20">
        <v>-3.253</v>
      </c>
      <c r="AM54" s="23">
        <f>25-21</f>
        <v>4</v>
      </c>
      <c r="AN54" s="8">
        <v>54.327222709060216</v>
      </c>
      <c r="AO54" s="23">
        <f>14-4</f>
        <v>10</v>
      </c>
      <c r="AP54" s="8">
        <v>81.70112716083031</v>
      </c>
      <c r="AQ54" s="23">
        <f>24-23</f>
        <v>1</v>
      </c>
      <c r="AR54" s="8">
        <v>53.164038667502325</v>
      </c>
      <c r="AS54" s="8">
        <v>26.715252910664773</v>
      </c>
      <c r="AT54" s="8">
        <v>70.41302756896683</v>
      </c>
      <c r="AU54" s="8">
        <v>2.8717195203684045</v>
      </c>
      <c r="AV54" s="23">
        <f t="shared" si="2"/>
        <v>23.84353339029637</v>
      </c>
      <c r="AW54" s="8">
        <v>0</v>
      </c>
      <c r="AX54" s="23">
        <f>18-16</f>
        <v>2</v>
      </c>
      <c r="AY54" s="8">
        <v>66.7809352090981</v>
      </c>
      <c r="AZ54" s="23">
        <f>26-21</f>
        <v>5</v>
      </c>
      <c r="BA54" s="8">
        <v>52.97449049383323</v>
      </c>
      <c r="BB54" s="20">
        <v>-0.576</v>
      </c>
      <c r="BC54" s="23">
        <f>15-13</f>
        <v>2</v>
      </c>
      <c r="BD54" s="8">
        <v>72.05637381544922</v>
      </c>
      <c r="BE54" s="23">
        <f>8-3</f>
        <v>5</v>
      </c>
      <c r="BF54" s="8">
        <v>88.48301812606815</v>
      </c>
      <c r="BG54" s="23">
        <f>17-12</f>
        <v>5</v>
      </c>
      <c r="BH54" s="8">
        <v>70.92457704153027</v>
      </c>
      <c r="BI54" s="8">
        <v>42.255293122690205</v>
      </c>
      <c r="BJ54" s="8">
        <v>55.48998228965182</v>
      </c>
      <c r="BK54" s="8">
        <v>2.2547245876579822</v>
      </c>
      <c r="BL54" s="23">
        <f t="shared" si="3"/>
        <v>40.00056853503222</v>
      </c>
      <c r="BM54" s="8">
        <v>0</v>
      </c>
      <c r="BN54" s="23">
        <f>24-21</f>
        <v>3</v>
      </c>
      <c r="BO54" s="8">
        <v>54.77847694861827</v>
      </c>
      <c r="BP54" s="23">
        <f>19-28</f>
        <v>-9</v>
      </c>
      <c r="BQ54" s="8">
        <v>52.52471159839113</v>
      </c>
      <c r="BR54" s="20">
        <v>-1.159</v>
      </c>
      <c r="BS54" s="23">
        <f>23-20</f>
        <v>3</v>
      </c>
      <c r="BT54" s="8">
        <v>57.18346997232828</v>
      </c>
      <c r="BU54" s="23">
        <f>11-6</f>
        <v>5</v>
      </c>
      <c r="BV54" s="8">
        <v>82.84293940802358</v>
      </c>
      <c r="BW54" s="23">
        <f>21-22</f>
        <v>-1</v>
      </c>
      <c r="BX54" s="8">
        <v>57.600162317839136</v>
      </c>
      <c r="BY54" s="8">
        <v>33.300491664691705</v>
      </c>
      <c r="BZ54" s="8">
        <v>62.50756120118366</v>
      </c>
      <c r="CA54" s="8">
        <v>3.8319366246583018</v>
      </c>
      <c r="CB54" s="23">
        <f t="shared" si="4"/>
        <v>29.468555040033404</v>
      </c>
      <c r="CC54" s="8">
        <v>0.3600105094663318</v>
      </c>
      <c r="CD54" s="23">
        <f>24-23</f>
        <v>1</v>
      </c>
      <c r="CE54" s="8">
        <v>52.765291126852965</v>
      </c>
      <c r="CF54" s="23">
        <f>23-40</f>
        <v>-17</v>
      </c>
      <c r="CG54" s="8">
        <v>36.96345729204181</v>
      </c>
      <c r="CH54" s="20">
        <v>-1.776</v>
      </c>
      <c r="CI54" s="23">
        <f>21-18</f>
        <v>3</v>
      </c>
      <c r="CJ54" s="8">
        <v>61.062531290686074</v>
      </c>
      <c r="CK54" s="23">
        <f>16-2</f>
        <v>14</v>
      </c>
      <c r="CL54" s="8">
        <v>82.56177476247396</v>
      </c>
      <c r="CM54" s="23">
        <f>16-23</f>
        <v>-7</v>
      </c>
      <c r="CN54" s="8">
        <v>60.861084717920974</v>
      </c>
      <c r="CO54" s="8">
        <v>43.79615475352036</v>
      </c>
      <c r="CP54" s="8">
        <v>53.02210748896936</v>
      </c>
      <c r="CQ54" s="8">
        <v>0.8093388499518741</v>
      </c>
      <c r="CR54" s="23">
        <f t="shared" si="5"/>
        <v>42.98681590356849</v>
      </c>
      <c r="CS54" s="8">
        <v>2.372398907558406</v>
      </c>
      <c r="CT54" s="23">
        <f>34-26</f>
        <v>8</v>
      </c>
      <c r="CU54" s="8">
        <v>40.18705045622652</v>
      </c>
      <c r="CV54" s="23">
        <f>28-32</f>
        <v>-4</v>
      </c>
      <c r="CW54" s="8">
        <v>40.35293138805374</v>
      </c>
      <c r="CX54" s="20">
        <v>-2.116</v>
      </c>
      <c r="CY54" s="23">
        <f>38-19</f>
        <v>19</v>
      </c>
      <c r="CZ54" s="8">
        <v>43.57915142055467</v>
      </c>
      <c r="DA54" s="23">
        <f>3-3</f>
        <v>0</v>
      </c>
      <c r="DB54" s="8">
        <v>93.4367136970232</v>
      </c>
      <c r="DC54" s="23">
        <f>37-16</f>
        <v>21</v>
      </c>
      <c r="DD54" s="8">
        <v>47.25648690184072</v>
      </c>
      <c r="DE54" s="8">
        <v>30.460383337744418</v>
      </c>
      <c r="DF54" s="8">
        <v>65.04220921922166</v>
      </c>
      <c r="DG54" s="8">
        <v>3.4570052586580267</v>
      </c>
      <c r="DH54" s="23">
        <f t="shared" si="6"/>
        <v>27.003378079086392</v>
      </c>
      <c r="DI54" s="8">
        <v>1.040402184375896</v>
      </c>
      <c r="DJ54" s="23">
        <f>36-28</f>
        <v>8</v>
      </c>
      <c r="DK54" s="8">
        <v>35.75288943641487</v>
      </c>
      <c r="DL54" s="23">
        <f>39-30</f>
        <v>9</v>
      </c>
      <c r="DM54" s="8">
        <v>31.149818496717895</v>
      </c>
      <c r="DN54" s="20">
        <v>-1.059</v>
      </c>
      <c r="DO54" s="23">
        <f>22-15</f>
        <v>7</v>
      </c>
      <c r="DP54" s="8">
        <v>62.49738429664164</v>
      </c>
      <c r="DQ54" s="23">
        <f>5-1</f>
        <v>4</v>
      </c>
      <c r="DR54" s="8">
        <v>93.3746788247895</v>
      </c>
      <c r="DS54" s="23">
        <f>16-16</f>
        <v>0</v>
      </c>
      <c r="DT54" s="8">
        <v>67.82631922235026</v>
      </c>
      <c r="DU54" s="8">
        <v>32.184530815326866</v>
      </c>
      <c r="DV54" s="8">
        <v>66.65458239661346</v>
      </c>
      <c r="DW54" s="8">
        <v>1.040142366333819</v>
      </c>
      <c r="DX54" s="23">
        <f t="shared" si="7"/>
        <v>31.14438844899305</v>
      </c>
      <c r="DY54" s="8">
        <v>0.12074442172585198</v>
      </c>
      <c r="DZ54" s="23">
        <f>17-21</f>
        <v>-4</v>
      </c>
      <c r="EA54" s="8">
        <v>62.17224786698594</v>
      </c>
      <c r="EB54" s="23">
        <f>17-19</f>
        <v>-2</v>
      </c>
      <c r="EC54" s="8">
        <v>63.859222907701906</v>
      </c>
      <c r="ED54" s="20">
        <v>-1.082</v>
      </c>
      <c r="EE54" s="23">
        <f>26-13</f>
        <v>13</v>
      </c>
      <c r="EF54" s="8">
        <v>61.47297765633846</v>
      </c>
      <c r="EG54" s="23">
        <f>10-0</f>
        <v>10</v>
      </c>
      <c r="EH54" s="8">
        <v>89.770147660438</v>
      </c>
      <c r="EI54" s="23">
        <f>25-9</f>
        <v>16</v>
      </c>
      <c r="EJ54" s="8">
        <v>65.66455760202932</v>
      </c>
      <c r="EK54" s="8">
        <v>20.307382229301005</v>
      </c>
      <c r="EL54" s="8">
        <v>78.79919886974956</v>
      </c>
      <c r="EM54" s="8">
        <v>0.8934189009494303</v>
      </c>
      <c r="EN54" s="23">
        <f t="shared" si="8"/>
        <v>19.413963328351574</v>
      </c>
      <c r="EO54" s="8">
        <v>0</v>
      </c>
      <c r="EP54" s="23">
        <f>25-23</f>
        <v>2</v>
      </c>
      <c r="EQ54" s="8">
        <v>52.16723506139063</v>
      </c>
      <c r="ER54" s="23">
        <f>28-25</f>
        <v>3</v>
      </c>
      <c r="ES54" s="8">
        <v>46.947948365892856</v>
      </c>
      <c r="ET54" s="20">
        <v>-1.005</v>
      </c>
      <c r="EU54" s="23">
        <f>25-16</f>
        <v>9</v>
      </c>
      <c r="EV54" s="8">
        <v>58.85252468592702</v>
      </c>
      <c r="EW54" s="23">
        <f>8-3</f>
        <v>5</v>
      </c>
      <c r="EX54" s="8">
        <v>89.45607093589987</v>
      </c>
      <c r="EY54" s="23">
        <f>23-16</f>
        <v>7</v>
      </c>
      <c r="EZ54" s="8">
        <v>61.52831033891418</v>
      </c>
      <c r="FA54" s="8">
        <v>37.15413722106164</v>
      </c>
      <c r="FB54" s="8">
        <v>60.746722880191626</v>
      </c>
      <c r="FC54" s="8">
        <v>1.7295124708084986</v>
      </c>
      <c r="FD54" s="23">
        <f t="shared" si="9"/>
        <v>35.42462475025314</v>
      </c>
      <c r="FE54" s="8">
        <v>0.3696274279382301</v>
      </c>
      <c r="FF54" s="23">
        <f>17-33</f>
        <v>-16</v>
      </c>
      <c r="FG54" s="8">
        <v>50.28223568619153</v>
      </c>
      <c r="FH54" s="23">
        <f>17-38</f>
        <v>-21</v>
      </c>
      <c r="FI54" s="8">
        <v>46</v>
      </c>
      <c r="FJ54" s="20">
        <v>-3.098</v>
      </c>
      <c r="FK54" s="23">
        <f>28-22</f>
        <v>6</v>
      </c>
      <c r="FL54" s="8">
        <v>50.53918149677193</v>
      </c>
      <c r="FM54" s="23">
        <f>14-5</f>
        <v>9</v>
      </c>
      <c r="FN54" s="8">
        <v>81.64009684248748</v>
      </c>
      <c r="FO54" s="23">
        <f>20-23</f>
        <v>-3</v>
      </c>
      <c r="FP54" s="8">
        <v>56.94168121865065</v>
      </c>
      <c r="FQ54" s="8">
        <v>28.59320490449764</v>
      </c>
      <c r="FR54" s="8">
        <v>64.59195002198831</v>
      </c>
      <c r="FS54" s="8">
        <v>6.003971690772884</v>
      </c>
      <c r="FT54" s="112">
        <f>FQ54-FS54</f>
        <v>22.589233213724754</v>
      </c>
      <c r="FU54" s="23">
        <v>0.8108733827411736</v>
      </c>
    </row>
    <row r="55" spans="1:177" ht="12">
      <c r="A55" s="1" t="s">
        <v>32</v>
      </c>
      <c r="B55" s="23">
        <f>27-20</f>
        <v>7</v>
      </c>
      <c r="C55" s="8">
        <v>52.69470420324258</v>
      </c>
      <c r="D55" s="23">
        <f>33-19</f>
        <v>14</v>
      </c>
      <c r="E55" s="8">
        <v>47.88371891643518</v>
      </c>
      <c r="F55" s="20">
        <v>-0.086</v>
      </c>
      <c r="G55" s="23">
        <f>57-7</f>
        <v>50</v>
      </c>
      <c r="H55" s="8">
        <v>36.00748187542619</v>
      </c>
      <c r="I55" s="23">
        <f>6-4</f>
        <v>2</v>
      </c>
      <c r="J55" s="8">
        <v>90.07723459097085</v>
      </c>
      <c r="K55" s="23">
        <f>49-10</f>
        <v>39</v>
      </c>
      <c r="L55" s="8">
        <v>40.87239866474898</v>
      </c>
      <c r="M55" s="8">
        <v>52.52222380523599</v>
      </c>
      <c r="N55" s="8">
        <v>42.473683192033604</v>
      </c>
      <c r="O55" s="8">
        <v>3.5926809908617336</v>
      </c>
      <c r="P55" s="23">
        <f t="shared" si="0"/>
        <v>48.92954281437426</v>
      </c>
      <c r="Q55" s="8">
        <v>1.4114120118686693</v>
      </c>
      <c r="R55" s="23">
        <f>19-21</f>
        <v>-2</v>
      </c>
      <c r="S55" s="8">
        <v>59.49514992663173</v>
      </c>
      <c r="T55" s="23">
        <f>19-20</f>
        <v>-1</v>
      </c>
      <c r="U55" s="8">
        <v>61.01373176556852</v>
      </c>
      <c r="V55" s="20">
        <v>-0.615</v>
      </c>
      <c r="W55" s="23">
        <f>28-6</f>
        <v>22</v>
      </c>
      <c r="X55" s="8">
        <v>66.15921125454692</v>
      </c>
      <c r="Y55" s="23">
        <f>5-3</f>
        <v>2</v>
      </c>
      <c r="Z55" s="8">
        <v>91.50403785621967</v>
      </c>
      <c r="AA55" s="23">
        <f>18-1</f>
        <v>17</v>
      </c>
      <c r="AB55" s="8">
        <v>80.92050203391162</v>
      </c>
      <c r="AC55" s="8">
        <v>36.88056990023566</v>
      </c>
      <c r="AD55" s="8">
        <v>62.40794218512647</v>
      </c>
      <c r="AE55" s="8">
        <v>0.7114879146378623</v>
      </c>
      <c r="AF55" s="23">
        <f t="shared" si="1"/>
        <v>36.1690819855978</v>
      </c>
      <c r="AG55" s="8">
        <v>0</v>
      </c>
      <c r="AH55" s="23">
        <f>22-21</f>
        <v>1</v>
      </c>
      <c r="AI55" s="8">
        <v>57.25981111839818</v>
      </c>
      <c r="AJ55" s="23">
        <f>25-24</f>
        <v>1</v>
      </c>
      <c r="AK55" s="8">
        <v>50.79682356327542</v>
      </c>
      <c r="AL55" s="20">
        <v>-1.519</v>
      </c>
      <c r="AM55" s="23">
        <f>49-10</f>
        <v>39</v>
      </c>
      <c r="AN55" s="8">
        <v>41.21587760809205</v>
      </c>
      <c r="AO55" s="23">
        <f>5-5</f>
        <v>0</v>
      </c>
      <c r="AP55" s="8">
        <v>90.62120052498958</v>
      </c>
      <c r="AQ55" s="23">
        <f>40-16</f>
        <v>24</v>
      </c>
      <c r="AR55" s="8">
        <v>44.51624917854197</v>
      </c>
      <c r="AS55" s="8">
        <v>25.11123033517315</v>
      </c>
      <c r="AT55" s="8">
        <v>73.35720329352657</v>
      </c>
      <c r="AU55" s="8">
        <v>1.5315663713002798</v>
      </c>
      <c r="AV55" s="23">
        <f t="shared" si="2"/>
        <v>23.57966396387287</v>
      </c>
      <c r="AW55" s="8">
        <v>0</v>
      </c>
      <c r="AX55" s="23">
        <f>28-21</f>
        <v>7</v>
      </c>
      <c r="AY55" s="8">
        <v>51.34350425972446</v>
      </c>
      <c r="AZ55" s="23">
        <f>22-24</f>
        <v>-2</v>
      </c>
      <c r="BA55" s="8">
        <v>53.2190179172349</v>
      </c>
      <c r="BB55" s="20">
        <v>-0.697</v>
      </c>
      <c r="BC55" s="23">
        <f>42-6</f>
        <v>36</v>
      </c>
      <c r="BD55" s="8">
        <v>51.99892026239596</v>
      </c>
      <c r="BE55" s="23">
        <f>11-4</f>
        <v>7</v>
      </c>
      <c r="BF55" s="8">
        <v>85.15347786166507</v>
      </c>
      <c r="BG55" s="23">
        <f>40-7</f>
        <v>33</v>
      </c>
      <c r="BH55" s="8">
        <v>53.711826124460615</v>
      </c>
      <c r="BI55" s="8">
        <v>29.330023499412178</v>
      </c>
      <c r="BJ55" s="8">
        <v>69.11386646666332</v>
      </c>
      <c r="BK55" s="8">
        <v>1.5561100339244953</v>
      </c>
      <c r="BL55" s="23">
        <f t="shared" si="3"/>
        <v>27.773913465487684</v>
      </c>
      <c r="BM55" s="8">
        <v>0</v>
      </c>
      <c r="BN55" s="23">
        <f>20-20</f>
        <v>0</v>
      </c>
      <c r="BO55" s="8">
        <v>59.90054661916173</v>
      </c>
      <c r="BP55" s="23">
        <f>19-15</f>
        <v>4</v>
      </c>
      <c r="BQ55" s="8">
        <v>65.05744973413641</v>
      </c>
      <c r="BR55" s="20">
        <v>-0.742</v>
      </c>
      <c r="BS55" s="23">
        <f>42-8</f>
        <v>34</v>
      </c>
      <c r="BT55" s="8">
        <v>49.521738630250326</v>
      </c>
      <c r="BU55" s="23">
        <f>6-3</f>
        <v>3</v>
      </c>
      <c r="BV55" s="8">
        <v>91.11471707078111</v>
      </c>
      <c r="BW55" s="23">
        <f>32-8</f>
        <v>24</v>
      </c>
      <c r="BX55" s="8">
        <v>60.4225716712461</v>
      </c>
      <c r="BY55" s="8">
        <v>17.548778420223698</v>
      </c>
      <c r="BZ55" s="8">
        <v>79.2927754073658</v>
      </c>
      <c r="CA55" s="8">
        <v>3.1584461724104993</v>
      </c>
      <c r="CB55" s="23">
        <f t="shared" si="4"/>
        <v>14.390332247813198</v>
      </c>
      <c r="CC55" s="8">
        <v>0</v>
      </c>
      <c r="CD55" s="23">
        <f>13-36</f>
        <v>-23</v>
      </c>
      <c r="CE55" s="8">
        <v>51.8883750361678</v>
      </c>
      <c r="CF55" s="23">
        <f>22-31</f>
        <v>-9</v>
      </c>
      <c r="CG55" s="8">
        <v>47.23968844304351</v>
      </c>
      <c r="CH55" s="20">
        <v>-1.181</v>
      </c>
      <c r="CI55" s="23">
        <f>42-10</f>
        <v>32</v>
      </c>
      <c r="CJ55" s="8">
        <v>47.997402712508475</v>
      </c>
      <c r="CK55" s="23">
        <f>6-3</f>
        <v>3</v>
      </c>
      <c r="CL55" s="8">
        <v>90.53704994154663</v>
      </c>
      <c r="CM55" s="23">
        <f>40-10</f>
        <v>30</v>
      </c>
      <c r="CN55" s="8">
        <v>50.34383171431968</v>
      </c>
      <c r="CO55" s="8">
        <v>28.001948766926194</v>
      </c>
      <c r="CP55" s="8">
        <v>70.90946279664294</v>
      </c>
      <c r="CQ55" s="8">
        <v>1.0885884364308658</v>
      </c>
      <c r="CR55" s="23">
        <f t="shared" si="5"/>
        <v>26.91336033049533</v>
      </c>
      <c r="CS55" s="8">
        <v>0</v>
      </c>
      <c r="CT55" s="23">
        <f>30-21</f>
        <v>9</v>
      </c>
      <c r="CU55" s="8">
        <v>49.10899992941767</v>
      </c>
      <c r="CV55" s="23">
        <f>36-25</f>
        <v>11</v>
      </c>
      <c r="CW55" s="8">
        <v>39.62845193666028</v>
      </c>
      <c r="CX55" s="20">
        <v>0.39</v>
      </c>
      <c r="CY55" s="23">
        <f>56-11</f>
        <v>45</v>
      </c>
      <c r="CZ55" s="8">
        <v>32.76461408692492</v>
      </c>
      <c r="DA55" s="23">
        <f>11-3</f>
        <v>8</v>
      </c>
      <c r="DB55" s="8">
        <v>85.67773624030427</v>
      </c>
      <c r="DC55" s="23">
        <f>32-6</f>
        <v>26</v>
      </c>
      <c r="DD55" s="8">
        <v>61.08199207090408</v>
      </c>
      <c r="DE55" s="8">
        <v>44.829538937465394</v>
      </c>
      <c r="DF55" s="8">
        <v>51.710076395047025</v>
      </c>
      <c r="DG55" s="8">
        <v>3.4603846674875918</v>
      </c>
      <c r="DH55" s="23">
        <f t="shared" si="6"/>
        <v>41.3691542699778</v>
      </c>
      <c r="DI55" s="8">
        <v>0</v>
      </c>
      <c r="DJ55" s="23">
        <f>29-28</f>
        <v>1</v>
      </c>
      <c r="DK55" s="8">
        <v>42.50728186421322</v>
      </c>
      <c r="DL55" s="23">
        <f>29-36</f>
        <v>-7</v>
      </c>
      <c r="DM55" s="8">
        <v>35.4295174915736</v>
      </c>
      <c r="DN55" s="20">
        <v>-2.918</v>
      </c>
      <c r="DO55" s="23">
        <f>35-18</f>
        <v>17</v>
      </c>
      <c r="DP55" s="8">
        <v>46.89695318881759</v>
      </c>
      <c r="DQ55" s="23">
        <f>4-0</f>
        <v>4</v>
      </c>
      <c r="DR55" s="8">
        <v>95.37216643869581</v>
      </c>
      <c r="DS55" s="23">
        <f>25-15</f>
        <v>10</v>
      </c>
      <c r="DT55" s="8">
        <v>59.171723263113066</v>
      </c>
      <c r="DU55" s="8">
        <v>22.856435169162104</v>
      </c>
      <c r="DV55" s="8">
        <v>71.59347755329348</v>
      </c>
      <c r="DW55" s="8">
        <v>5.5500872775444146</v>
      </c>
      <c r="DX55" s="23">
        <f t="shared" si="7"/>
        <v>17.30634789161769</v>
      </c>
      <c r="DY55" s="8">
        <v>0</v>
      </c>
      <c r="DZ55" s="23">
        <f>25-23</f>
        <v>2</v>
      </c>
      <c r="EA55" s="8">
        <v>52.25488395172492</v>
      </c>
      <c r="EB55" s="23">
        <f>22-26</f>
        <v>-4</v>
      </c>
      <c r="EC55" s="8">
        <v>52.07205576034861</v>
      </c>
      <c r="ED55" s="20">
        <v>-0.595</v>
      </c>
      <c r="EE55" s="23">
        <f>38-12</f>
        <v>26</v>
      </c>
      <c r="EF55" s="8">
        <v>50.243284903885</v>
      </c>
      <c r="EG55" s="23">
        <f>12-14</f>
        <v>-2</v>
      </c>
      <c r="EH55" s="8">
        <v>73.73216366579788</v>
      </c>
      <c r="EI55" s="23">
        <f>31-14</f>
        <v>17</v>
      </c>
      <c r="EJ55" s="8">
        <v>54.61223661945993</v>
      </c>
      <c r="EK55" s="8">
        <v>33.51637869565004</v>
      </c>
      <c r="EL55" s="8">
        <v>61.50144779832759</v>
      </c>
      <c r="EM55" s="8">
        <v>4.9821735060223675</v>
      </c>
      <c r="EN55" s="23">
        <f t="shared" si="8"/>
        <v>28.534205189627674</v>
      </c>
      <c r="EO55" s="8">
        <v>0</v>
      </c>
      <c r="EP55" s="23">
        <f>25-23</f>
        <v>2</v>
      </c>
      <c r="EQ55" s="8">
        <v>52.73537642598465</v>
      </c>
      <c r="ER55" s="23">
        <f>27-23</f>
        <v>4</v>
      </c>
      <c r="ES55" s="8">
        <v>49.98762468918333</v>
      </c>
      <c r="ET55" s="20">
        <v>-0.736</v>
      </c>
      <c r="EU55" s="23">
        <f>45-9</f>
        <v>36</v>
      </c>
      <c r="EV55" s="8">
        <v>45.36845748760368</v>
      </c>
      <c r="EW55" s="23">
        <f>8-4</f>
        <v>4</v>
      </c>
      <c r="EX55" s="8">
        <v>88.34370193461007</v>
      </c>
      <c r="EY55" s="23">
        <f>37-10</f>
        <v>27</v>
      </c>
      <c r="EZ55" s="8">
        <v>53.71362924607348</v>
      </c>
      <c r="FA55" s="8">
        <v>38.138955427499255</v>
      </c>
      <c r="FB55" s="8">
        <v>65.29906218250719</v>
      </c>
      <c r="FC55" s="8">
        <v>3.173227643031809</v>
      </c>
      <c r="FD55" s="23">
        <f t="shared" si="9"/>
        <v>34.96572778446745</v>
      </c>
      <c r="FE55" s="8">
        <v>0.3887547469617468</v>
      </c>
      <c r="FF55" s="23">
        <f>16-31</f>
        <v>-15</v>
      </c>
      <c r="FG55" s="8">
        <v>52.29900296828537</v>
      </c>
      <c r="FH55" s="23">
        <f>15-34</f>
        <v>-19</v>
      </c>
      <c r="FI55" s="8">
        <v>51.468699134021165</v>
      </c>
      <c r="FJ55" s="20">
        <v>-3.008</v>
      </c>
      <c r="FK55" s="23">
        <f>36-14</f>
        <v>22</v>
      </c>
      <c r="FL55" s="8">
        <v>50.06588740573734</v>
      </c>
      <c r="FM55" s="23">
        <f>12-5</f>
        <v>7</v>
      </c>
      <c r="FN55" s="8">
        <v>83.09990864990894</v>
      </c>
      <c r="FO55" s="23">
        <f>27-18</f>
        <v>9</v>
      </c>
      <c r="FP55" s="8">
        <v>55.168860388025905</v>
      </c>
      <c r="FQ55" s="8">
        <v>29.906824526282254</v>
      </c>
      <c r="FR55" s="8">
        <v>68.65960410020112</v>
      </c>
      <c r="FS55" s="8">
        <v>1.0825396150696116</v>
      </c>
      <c r="FT55" s="112">
        <f>FQ55-FS55</f>
        <v>28.824284911212644</v>
      </c>
      <c r="FU55" s="23">
        <v>0.3510317584470121</v>
      </c>
    </row>
    <row r="56" spans="1:177" ht="12">
      <c r="A56" s="1" t="s">
        <v>33</v>
      </c>
      <c r="B56" s="23">
        <f>42-16</f>
        <v>26</v>
      </c>
      <c r="C56" s="8">
        <v>42.53021526788595</v>
      </c>
      <c r="D56" s="23">
        <f>35-10</f>
        <v>25</v>
      </c>
      <c r="E56" s="8">
        <v>54.74037107957631</v>
      </c>
      <c r="F56" s="20">
        <v>0.253</v>
      </c>
      <c r="G56" s="23">
        <f>21-27</f>
        <v>-6</v>
      </c>
      <c r="H56" s="8">
        <v>52.00239418406445</v>
      </c>
      <c r="I56" s="23">
        <f>4-6</f>
        <v>-2</v>
      </c>
      <c r="J56" s="8">
        <v>90.12590935374226</v>
      </c>
      <c r="K56" s="23">
        <f>26-15</f>
        <v>11</v>
      </c>
      <c r="L56" s="8">
        <v>59.55942605618985</v>
      </c>
      <c r="M56" s="8">
        <v>38.727812219723845</v>
      </c>
      <c r="N56" s="8">
        <v>55.31012143332118</v>
      </c>
      <c r="O56" s="8">
        <v>5.777030873245051</v>
      </c>
      <c r="P56" s="23">
        <f t="shared" si="0"/>
        <v>32.95078134647879</v>
      </c>
      <c r="Q56" s="8">
        <v>0.18503547370992068</v>
      </c>
      <c r="R56" s="23">
        <f>36-22</f>
        <v>14</v>
      </c>
      <c r="S56" s="8">
        <v>41.57816563868742</v>
      </c>
      <c r="T56" s="23">
        <f>36-11</f>
        <v>25</v>
      </c>
      <c r="U56" s="8">
        <v>53.49727272753027</v>
      </c>
      <c r="V56" s="20">
        <v>0.885</v>
      </c>
      <c r="W56" s="23">
        <f>23-9</f>
        <v>14</v>
      </c>
      <c r="X56" s="8">
        <v>67.22821311654927</v>
      </c>
      <c r="Y56" s="23">
        <f>4-0</f>
        <v>4</v>
      </c>
      <c r="Z56" s="8">
        <v>96.14158180294245</v>
      </c>
      <c r="AA56" s="23">
        <f>23-7</f>
        <v>16</v>
      </c>
      <c r="AB56" s="8">
        <v>70.20353111534962</v>
      </c>
      <c r="AC56" s="8">
        <v>49.325342158872985</v>
      </c>
      <c r="AD56" s="8">
        <v>48.9776353545456</v>
      </c>
      <c r="AE56" s="8">
        <v>1.6970224865814212</v>
      </c>
      <c r="AF56" s="23">
        <f t="shared" si="1"/>
        <v>47.62831967229156</v>
      </c>
      <c r="AG56" s="8">
        <v>0</v>
      </c>
      <c r="AH56" s="23">
        <f>36-15</f>
        <v>21</v>
      </c>
      <c r="AI56" s="8">
        <v>49.42839932087513</v>
      </c>
      <c r="AJ56" s="23">
        <f>33-20</f>
        <v>13</v>
      </c>
      <c r="AK56" s="8">
        <v>47.13888237036402</v>
      </c>
      <c r="AL56" s="20">
        <v>-0.97</v>
      </c>
      <c r="AM56" s="23">
        <f>25-25</f>
        <v>0</v>
      </c>
      <c r="AN56" s="8">
        <v>50.31988950283291</v>
      </c>
      <c r="AO56" s="23">
        <f>14-3</f>
        <v>11</v>
      </c>
      <c r="AP56" s="8">
        <v>82.60272872305964</v>
      </c>
      <c r="AQ56" s="23">
        <f>24-25</f>
        <v>-1</v>
      </c>
      <c r="AR56" s="8">
        <v>51.139799140970744</v>
      </c>
      <c r="AS56" s="8">
        <v>32.57849108105314</v>
      </c>
      <c r="AT56" s="8">
        <v>65.50473860705523</v>
      </c>
      <c r="AU56" s="8">
        <v>1.9167703118916393</v>
      </c>
      <c r="AV56" s="23">
        <f t="shared" si="2"/>
        <v>30.661720769161498</v>
      </c>
      <c r="AW56" s="8">
        <v>0</v>
      </c>
      <c r="AX56" s="23">
        <f>40-22</f>
        <v>18</v>
      </c>
      <c r="AY56" s="8">
        <v>38.2626272324699</v>
      </c>
      <c r="AZ56" s="23">
        <f>33-22</f>
        <v>11</v>
      </c>
      <c r="BA56" s="8">
        <v>44.606906865933404</v>
      </c>
      <c r="BB56" s="20">
        <v>-0.693</v>
      </c>
      <c r="BC56" s="23">
        <f>28-14</f>
        <v>14</v>
      </c>
      <c r="BD56" s="8">
        <v>58.369339125328615</v>
      </c>
      <c r="BE56" s="23">
        <f>5-10</f>
        <v>-5</v>
      </c>
      <c r="BF56" s="8">
        <v>84.97751573885853</v>
      </c>
      <c r="BG56" s="23">
        <f>26-20</f>
        <v>6</v>
      </c>
      <c r="BH56" s="8">
        <v>54.03647202818811</v>
      </c>
      <c r="BI56" s="8">
        <v>23.851375654422128</v>
      </c>
      <c r="BJ56" s="8">
        <v>72.46860875673002</v>
      </c>
      <c r="BK56" s="8">
        <v>1.5394305913528739</v>
      </c>
      <c r="BL56" s="23">
        <f t="shared" si="3"/>
        <v>22.311945063069253</v>
      </c>
      <c r="BM56" s="8">
        <v>2.1405849974949787</v>
      </c>
      <c r="BN56" s="23">
        <f>43-22</f>
        <v>21</v>
      </c>
      <c r="BO56" s="8">
        <v>34.47053165526891</v>
      </c>
      <c r="BP56" s="23">
        <f>34-16</f>
        <v>18</v>
      </c>
      <c r="BQ56" s="8">
        <v>49.955620810927606</v>
      </c>
      <c r="BR56" s="20">
        <v>-0.188</v>
      </c>
      <c r="BS56" s="23">
        <f>27-42</f>
        <v>-15</v>
      </c>
      <c r="BT56" s="8">
        <v>30.971526434689277</v>
      </c>
      <c r="BU56" s="23">
        <f>9-2</f>
        <v>7</v>
      </c>
      <c r="BV56" s="8">
        <v>88.87862422365298</v>
      </c>
      <c r="BW56" s="23">
        <f>23-40</f>
        <v>-17</v>
      </c>
      <c r="BX56" s="8">
        <v>36.98396717838849</v>
      </c>
      <c r="BY56" s="8">
        <v>38.377590839222464</v>
      </c>
      <c r="BZ56" s="8">
        <v>59.3429287847392</v>
      </c>
      <c r="CA56" s="8">
        <v>2.0636982658060394</v>
      </c>
      <c r="CB56" s="23">
        <f t="shared" si="4"/>
        <v>36.313892573416425</v>
      </c>
      <c r="CC56" s="8">
        <v>0.2157821102323004</v>
      </c>
      <c r="CD56" s="23">
        <f>49-11</f>
        <v>38</v>
      </c>
      <c r="CE56" s="8">
        <v>39.78778594595604</v>
      </c>
      <c r="CF56" s="23">
        <f>33-19</f>
        <v>14</v>
      </c>
      <c r="CG56" s="8">
        <v>48.60941097225632</v>
      </c>
      <c r="CH56" s="20">
        <v>-0.232</v>
      </c>
      <c r="CI56" s="23">
        <f>34-28</f>
        <v>6</v>
      </c>
      <c r="CJ56" s="8">
        <v>38.320177472683795</v>
      </c>
      <c r="CK56" s="23">
        <f>8-0</f>
        <v>8</v>
      </c>
      <c r="CL56" s="8">
        <v>91.40587733687403</v>
      </c>
      <c r="CM56" s="23">
        <f>33-25</f>
        <v>8</v>
      </c>
      <c r="CN56" s="8">
        <v>42.5328554792363</v>
      </c>
      <c r="CO56" s="8">
        <v>41.14904480270197</v>
      </c>
      <c r="CP56" s="8">
        <v>57.80304860411674</v>
      </c>
      <c r="CQ56" s="8">
        <v>1.0479065931812919</v>
      </c>
      <c r="CR56" s="23">
        <f t="shared" si="5"/>
        <v>40.101138209520684</v>
      </c>
      <c r="CS56" s="8">
        <v>0</v>
      </c>
      <c r="CT56" s="23">
        <f>43-15</f>
        <v>28</v>
      </c>
      <c r="CU56" s="8">
        <v>41.549195166322214</v>
      </c>
      <c r="CV56" s="23">
        <f>34-18</f>
        <v>16</v>
      </c>
      <c r="CW56" s="8">
        <v>47.9862714336351</v>
      </c>
      <c r="CX56" s="20">
        <v>-0.269</v>
      </c>
      <c r="CY56" s="23">
        <f>21-14</f>
        <v>7</v>
      </c>
      <c r="CZ56" s="8">
        <v>64.53706645242521</v>
      </c>
      <c r="DA56" s="23">
        <f>13-3</f>
        <v>10</v>
      </c>
      <c r="DB56" s="8">
        <v>84.15520815752218</v>
      </c>
      <c r="DC56" s="23">
        <f>18-15</f>
        <v>3</v>
      </c>
      <c r="DD56" s="8">
        <v>67.54103936109608</v>
      </c>
      <c r="DE56" s="8">
        <v>48.33577539858492</v>
      </c>
      <c r="DF56" s="8">
        <v>49.53503403055943</v>
      </c>
      <c r="DG56" s="8">
        <v>1.0710466154313363</v>
      </c>
      <c r="DH56" s="23">
        <f t="shared" si="6"/>
        <v>47.264728783153586</v>
      </c>
      <c r="DI56" s="8">
        <v>1.0581439554243222</v>
      </c>
      <c r="DJ56" s="23">
        <f>34-21</f>
        <v>13</v>
      </c>
      <c r="DK56" s="8">
        <v>45.489532020312126</v>
      </c>
      <c r="DL56" s="23">
        <f>29-23</f>
        <v>6</v>
      </c>
      <c r="DM56" s="8">
        <v>47.60802874277613</v>
      </c>
      <c r="DN56" s="20">
        <v>-0.687</v>
      </c>
      <c r="DO56" s="23">
        <f>9-39</f>
        <v>-30</v>
      </c>
      <c r="DP56" s="8">
        <v>52.2531512610508</v>
      </c>
      <c r="DQ56" s="23">
        <f>8-4</f>
        <v>4</v>
      </c>
      <c r="DR56" s="8">
        <v>88.61222746229733</v>
      </c>
      <c r="DS56" s="23">
        <f>6-40</f>
        <v>-34</v>
      </c>
      <c r="DT56" s="8">
        <v>54.195959401440774</v>
      </c>
      <c r="DU56" s="8">
        <v>32.581583503808595</v>
      </c>
      <c r="DV56" s="8">
        <v>64.03889822066466</v>
      </c>
      <c r="DW56" s="8">
        <v>2.8680041032850245</v>
      </c>
      <c r="DX56" s="23">
        <f t="shared" si="7"/>
        <v>29.71357940052357</v>
      </c>
      <c r="DY56" s="8">
        <v>0.5115141722417147</v>
      </c>
      <c r="DZ56" s="23">
        <f>28-18</f>
        <v>10</v>
      </c>
      <c r="EA56" s="8">
        <v>54.21151078577084</v>
      </c>
      <c r="EB56" s="23">
        <f>22-25</f>
        <v>-3</v>
      </c>
      <c r="EC56" s="8">
        <v>52.261447732668586</v>
      </c>
      <c r="ED56" s="20">
        <v>-1.662</v>
      </c>
      <c r="EE56" s="23">
        <f>15-22</f>
        <v>-7</v>
      </c>
      <c r="EF56" s="8">
        <v>63.3185485552315</v>
      </c>
      <c r="EG56" s="23">
        <f>11-5</f>
        <v>6</v>
      </c>
      <c r="EH56" s="8">
        <v>84.02202589511327</v>
      </c>
      <c r="EI56" s="23">
        <f>10-19</f>
        <v>-9</v>
      </c>
      <c r="EJ56" s="8">
        <v>70.39774672883458</v>
      </c>
      <c r="EK56" s="8">
        <v>30.411721745395603</v>
      </c>
      <c r="EL56" s="8">
        <v>67.29045311600215</v>
      </c>
      <c r="EM56" s="8">
        <v>0</v>
      </c>
      <c r="EN56" s="23">
        <f t="shared" si="8"/>
        <v>30.411721745395603</v>
      </c>
      <c r="EO56" s="8">
        <v>2.297825138602242</v>
      </c>
      <c r="EP56" s="23">
        <f>39-18</f>
        <v>21</v>
      </c>
      <c r="EQ56" s="8">
        <v>42.671131305670926</v>
      </c>
      <c r="ER56" s="23">
        <f>33-17</f>
        <v>16</v>
      </c>
      <c r="ES56" s="8">
        <v>50.199276289911346</v>
      </c>
      <c r="ET56" s="20">
        <v>-0.301</v>
      </c>
      <c r="EU56" s="23">
        <f>22-24</f>
        <v>-2</v>
      </c>
      <c r="EV56" s="8">
        <v>53.4909812396789</v>
      </c>
      <c r="EW56" s="23">
        <f>7-5</f>
        <v>2</v>
      </c>
      <c r="EX56" s="8">
        <v>88.04882658519634</v>
      </c>
      <c r="EY56" s="23">
        <f>22-21</f>
        <v>1</v>
      </c>
      <c r="EZ56" s="8">
        <v>57.019445630754596</v>
      </c>
      <c r="FA56" s="8">
        <v>36.70772648242938</v>
      </c>
      <c r="FB56" s="8">
        <v>59.92984502367491</v>
      </c>
      <c r="FC56" s="8">
        <v>2.640277021985522</v>
      </c>
      <c r="FD56" s="23">
        <f t="shared" si="9"/>
        <v>34.067449460443854</v>
      </c>
      <c r="FE56" s="8">
        <v>0.7221514719101874</v>
      </c>
      <c r="FF56" s="23">
        <f>23-21</f>
        <v>2</v>
      </c>
      <c r="FG56" s="8">
        <v>55.708132387605644</v>
      </c>
      <c r="FH56" s="23">
        <f>17-27</f>
        <v>-10</v>
      </c>
      <c r="FI56" s="8">
        <v>56.61715418338632</v>
      </c>
      <c r="FJ56" s="20">
        <v>-1.925</v>
      </c>
      <c r="FK56" s="23">
        <f>18-23</f>
        <v>-5</v>
      </c>
      <c r="FL56" s="8">
        <v>58.80214517173833</v>
      </c>
      <c r="FM56" s="23">
        <f>13-3</f>
        <v>10</v>
      </c>
      <c r="FN56" s="8">
        <v>83.66967672751856</v>
      </c>
      <c r="FO56" s="23">
        <f>15-22</f>
        <v>-7</v>
      </c>
      <c r="FP56" s="8">
        <v>62.358662929350196</v>
      </c>
      <c r="FQ56" s="8">
        <v>27.974196969036257</v>
      </c>
      <c r="FR56" s="8">
        <v>67.14751029054052</v>
      </c>
      <c r="FS56" s="8">
        <v>3.5953635239477895</v>
      </c>
      <c r="FT56" s="112">
        <f>FQ56-FS56</f>
        <v>24.378833445088468</v>
      </c>
      <c r="FU56" s="23">
        <v>1.2829292164754318</v>
      </c>
    </row>
    <row r="57" spans="1:177" ht="12">
      <c r="A57" s="1" t="s">
        <v>9</v>
      </c>
      <c r="B57" s="24">
        <f aca="true" t="shared" si="88" ref="B57:O57">AVERAGE(B53:B56)</f>
        <v>10.75</v>
      </c>
      <c r="C57" s="13">
        <f t="shared" si="88"/>
        <v>47.31854963067594</v>
      </c>
      <c r="D57" s="24">
        <f t="shared" si="88"/>
        <v>16</v>
      </c>
      <c r="E57" s="13">
        <f t="shared" si="88"/>
        <v>46.15893742756071</v>
      </c>
      <c r="F57" s="21">
        <f t="shared" si="88"/>
        <v>0.069</v>
      </c>
      <c r="G57" s="24">
        <f t="shared" si="88"/>
        <v>28.25</v>
      </c>
      <c r="H57" s="13">
        <f t="shared" si="88"/>
        <v>44.215954733150326</v>
      </c>
      <c r="I57" s="24">
        <f t="shared" si="88"/>
        <v>1.75</v>
      </c>
      <c r="J57" s="13">
        <f t="shared" si="88"/>
        <v>91.88019904221173</v>
      </c>
      <c r="K57" s="24">
        <f t="shared" si="88"/>
        <v>28</v>
      </c>
      <c r="L57" s="13">
        <f t="shared" si="88"/>
        <v>49.52633721625327</v>
      </c>
      <c r="M57" s="13">
        <f t="shared" si="88"/>
        <v>47.134042583001786</v>
      </c>
      <c r="N57" s="13">
        <f t="shared" si="88"/>
        <v>49.600848497635916</v>
      </c>
      <c r="O57" s="13">
        <f t="shared" si="88"/>
        <v>2.791979481149098</v>
      </c>
      <c r="P57" s="24">
        <f t="shared" si="0"/>
        <v>44.34206310185269</v>
      </c>
      <c r="Q57" s="13">
        <f aca="true" t="shared" si="89" ref="Q57:AE57">AVERAGE(Q53:Q56)</f>
        <v>0.4731294382131967</v>
      </c>
      <c r="R57" s="24">
        <f t="shared" si="89"/>
        <v>-6</v>
      </c>
      <c r="S57" s="13">
        <f t="shared" si="89"/>
        <v>46.2054242882526</v>
      </c>
      <c r="T57" s="24">
        <f t="shared" si="89"/>
        <v>10.75</v>
      </c>
      <c r="U57" s="13">
        <f t="shared" si="89"/>
        <v>46.4518183261096</v>
      </c>
      <c r="V57" s="21">
        <f t="shared" si="89"/>
        <v>-0.7395</v>
      </c>
      <c r="W57" s="24">
        <f t="shared" si="89"/>
        <v>18.75</v>
      </c>
      <c r="X57" s="13">
        <f t="shared" si="89"/>
        <v>60.32313108779415</v>
      </c>
      <c r="Y57" s="24">
        <f t="shared" si="89"/>
        <v>3.5</v>
      </c>
      <c r="Z57" s="13">
        <f t="shared" si="89"/>
        <v>90.91041597803144</v>
      </c>
      <c r="AA57" s="24">
        <f t="shared" si="89"/>
        <v>16.75</v>
      </c>
      <c r="AB57" s="13">
        <f t="shared" si="89"/>
        <v>65.99000011118312</v>
      </c>
      <c r="AC57" s="13">
        <f t="shared" si="89"/>
        <v>49.037240783044226</v>
      </c>
      <c r="AD57" s="13">
        <f t="shared" si="89"/>
        <v>48.839134936423136</v>
      </c>
      <c r="AE57" s="13">
        <f t="shared" si="89"/>
        <v>2.123624280532633</v>
      </c>
      <c r="AF57" s="24">
        <f t="shared" si="1"/>
        <v>46.913616502511594</v>
      </c>
      <c r="AG57" s="13">
        <f aca="true" t="shared" si="90" ref="AG57:AU57">AVERAGE(AG53:AG56)</f>
        <v>0</v>
      </c>
      <c r="AH57" s="24">
        <f t="shared" si="90"/>
        <v>-3</v>
      </c>
      <c r="AI57" s="13">
        <f t="shared" si="90"/>
        <v>48.986248022553596</v>
      </c>
      <c r="AJ57" s="24">
        <f t="shared" si="90"/>
        <v>-0.75</v>
      </c>
      <c r="AK57" s="13">
        <f t="shared" si="90"/>
        <v>45.13645254136703</v>
      </c>
      <c r="AL57" s="21">
        <f t="shared" si="90"/>
        <v>-1.59825</v>
      </c>
      <c r="AM57" s="24">
        <f t="shared" si="90"/>
        <v>21</v>
      </c>
      <c r="AN57" s="13">
        <f t="shared" si="90"/>
        <v>45.17479859434995</v>
      </c>
      <c r="AO57" s="24">
        <f t="shared" si="90"/>
        <v>5.75</v>
      </c>
      <c r="AP57" s="13">
        <f t="shared" si="90"/>
        <v>84.29648570225285</v>
      </c>
      <c r="AQ57" s="24">
        <f t="shared" si="90"/>
        <v>15.5</v>
      </c>
      <c r="AR57" s="13">
        <f t="shared" si="90"/>
        <v>46.159190263206426</v>
      </c>
      <c r="AS57" s="13">
        <f t="shared" si="90"/>
        <v>31.394009204105714</v>
      </c>
      <c r="AT57" s="13">
        <f t="shared" si="90"/>
        <v>66.52154866059082</v>
      </c>
      <c r="AU57" s="13">
        <f t="shared" si="90"/>
        <v>2.084442135303462</v>
      </c>
      <c r="AV57" s="24">
        <f t="shared" si="2"/>
        <v>29.309567068802252</v>
      </c>
      <c r="AW57" s="13">
        <f aca="true" t="shared" si="91" ref="AW57:BK57">AVERAGE(AW53:AW56)</f>
        <v>0</v>
      </c>
      <c r="AX57" s="24">
        <f t="shared" si="91"/>
        <v>-1.25</v>
      </c>
      <c r="AY57" s="13">
        <f t="shared" si="91"/>
        <v>50.27829729363538</v>
      </c>
      <c r="AZ57" s="24">
        <f t="shared" si="91"/>
        <v>3.75</v>
      </c>
      <c r="BA57" s="13">
        <f t="shared" si="91"/>
        <v>48.42252739469368</v>
      </c>
      <c r="BB57" s="21">
        <f t="shared" si="91"/>
        <v>-0.728</v>
      </c>
      <c r="BC57" s="24">
        <f t="shared" si="91"/>
        <v>20</v>
      </c>
      <c r="BD57" s="13">
        <f t="shared" si="91"/>
        <v>59.52927940605235</v>
      </c>
      <c r="BE57" s="24">
        <f t="shared" si="91"/>
        <v>3.5</v>
      </c>
      <c r="BF57" s="13">
        <f t="shared" si="91"/>
        <v>86.33694793590469</v>
      </c>
      <c r="BG57" s="24">
        <f t="shared" si="91"/>
        <v>16.75</v>
      </c>
      <c r="BH57" s="13">
        <f t="shared" si="91"/>
        <v>58.521737673424994</v>
      </c>
      <c r="BI57" s="13">
        <f t="shared" si="91"/>
        <v>31.35866562196448</v>
      </c>
      <c r="BJ57" s="13">
        <f t="shared" si="91"/>
        <v>66.46096427215473</v>
      </c>
      <c r="BK57" s="13">
        <f t="shared" si="91"/>
        <v>1.6452238565070474</v>
      </c>
      <c r="BL57" s="24">
        <f t="shared" si="3"/>
        <v>29.713441765457432</v>
      </c>
      <c r="BM57" s="13">
        <f aca="true" t="shared" si="92" ref="BM57:CA57">AVERAGE(BM53:BM56)</f>
        <v>0.5351462493737447</v>
      </c>
      <c r="BN57" s="24">
        <f t="shared" si="92"/>
        <v>4.25</v>
      </c>
      <c r="BO57" s="13">
        <f t="shared" si="92"/>
        <v>49.662198253944496</v>
      </c>
      <c r="BP57" s="24">
        <f t="shared" si="92"/>
        <v>7.5</v>
      </c>
      <c r="BQ57" s="13">
        <f t="shared" si="92"/>
        <v>50.070709618519324</v>
      </c>
      <c r="BR57" s="21">
        <f t="shared" si="92"/>
        <v>-0.59225</v>
      </c>
      <c r="BS57" s="24">
        <f t="shared" si="92"/>
        <v>15.25</v>
      </c>
      <c r="BT57" s="13">
        <f t="shared" si="92"/>
        <v>46.16159995778192</v>
      </c>
      <c r="BU57" s="24">
        <f t="shared" si="92"/>
        <v>6.25</v>
      </c>
      <c r="BV57" s="13">
        <f t="shared" si="92"/>
        <v>87.21596735378685</v>
      </c>
      <c r="BW57" s="24">
        <f t="shared" si="92"/>
        <v>8.25</v>
      </c>
      <c r="BX57" s="13">
        <f t="shared" si="92"/>
        <v>52.198953351855494</v>
      </c>
      <c r="BY57" s="13">
        <f t="shared" si="92"/>
        <v>34.698574473070664</v>
      </c>
      <c r="BZ57" s="13">
        <f t="shared" si="92"/>
        <v>62.53276916822248</v>
      </c>
      <c r="CA57" s="13">
        <f t="shared" si="92"/>
        <v>2.5015427488557354</v>
      </c>
      <c r="CB57" s="24">
        <f t="shared" si="4"/>
        <v>32.19703172421493</v>
      </c>
      <c r="CC57" s="13">
        <f aca="true" t="shared" si="93" ref="CC57:CQ57">AVERAGE(CC53:CC56)</f>
        <v>0.26711360985111027</v>
      </c>
      <c r="CD57" s="24">
        <f t="shared" si="93"/>
        <v>-3</v>
      </c>
      <c r="CE57" s="13">
        <f t="shared" si="93"/>
        <v>44.17763826322705</v>
      </c>
      <c r="CF57" s="24">
        <f t="shared" si="93"/>
        <v>-0.5</v>
      </c>
      <c r="CG57" s="13">
        <f t="shared" si="93"/>
        <v>40.919246800140264</v>
      </c>
      <c r="CH57" s="21">
        <f t="shared" si="93"/>
        <v>-0.811</v>
      </c>
      <c r="CI57" s="24">
        <f t="shared" si="93"/>
        <v>20.5</v>
      </c>
      <c r="CJ57" s="13">
        <f t="shared" si="93"/>
        <v>48.604455589369095</v>
      </c>
      <c r="CK57" s="24">
        <f t="shared" si="93"/>
        <v>6.5</v>
      </c>
      <c r="CL57" s="13">
        <f t="shared" si="93"/>
        <v>88.90965325608038</v>
      </c>
      <c r="CM57" s="24">
        <f t="shared" si="93"/>
        <v>17</v>
      </c>
      <c r="CN57" s="13">
        <f t="shared" si="93"/>
        <v>52.355029648745706</v>
      </c>
      <c r="CO57" s="13">
        <f t="shared" si="93"/>
        <v>39.92404519192745</v>
      </c>
      <c r="CP57" s="13">
        <f t="shared" si="93"/>
        <v>58.612977689799735</v>
      </c>
      <c r="CQ57" s="13">
        <f t="shared" si="93"/>
        <v>0.8698773913832201</v>
      </c>
      <c r="CR57" s="24">
        <f t="shared" si="5"/>
        <v>39.05416780054423</v>
      </c>
      <c r="CS57" s="13">
        <f aca="true" t="shared" si="94" ref="CS57:DG57">AVERAGE(CS53:CS56)</f>
        <v>0.5930997268896016</v>
      </c>
      <c r="CT57" s="24">
        <f t="shared" si="94"/>
        <v>2.75</v>
      </c>
      <c r="CU57" s="13">
        <f t="shared" si="94"/>
        <v>44.272316490995955</v>
      </c>
      <c r="CV57" s="24">
        <f t="shared" si="94"/>
        <v>2</v>
      </c>
      <c r="CW57" s="13">
        <f t="shared" si="94"/>
        <v>41.90174843107163</v>
      </c>
      <c r="CX57" s="21">
        <f t="shared" si="94"/>
        <v>-0.9754999999999999</v>
      </c>
      <c r="CY57" s="24">
        <f t="shared" si="94"/>
        <v>27.75</v>
      </c>
      <c r="CZ57" s="13">
        <f t="shared" si="94"/>
        <v>46.77974930172631</v>
      </c>
      <c r="DA57" s="24">
        <f t="shared" si="94"/>
        <v>5</v>
      </c>
      <c r="DB57" s="13">
        <f t="shared" si="94"/>
        <v>88.44594839297316</v>
      </c>
      <c r="DC57" s="24">
        <f t="shared" si="94"/>
        <v>21.75</v>
      </c>
      <c r="DD57" s="13">
        <f t="shared" si="94"/>
        <v>55.15386739471067</v>
      </c>
      <c r="DE57" s="13">
        <f t="shared" si="94"/>
        <v>39.94045358017123</v>
      </c>
      <c r="DF57" s="13">
        <f t="shared" si="94"/>
        <v>57.004193104903436</v>
      </c>
      <c r="DG57" s="13">
        <f t="shared" si="94"/>
        <v>2.3759290090733933</v>
      </c>
      <c r="DH57" s="24">
        <f t="shared" si="6"/>
        <v>37.564524571097834</v>
      </c>
      <c r="DI57" s="13">
        <f aca="true" t="shared" si="95" ref="DI57:DW57">AVERAGE(DI53:DI56)</f>
        <v>0.6794243058519464</v>
      </c>
      <c r="DJ57" s="24">
        <f t="shared" si="95"/>
        <v>3</v>
      </c>
      <c r="DK57" s="13">
        <f t="shared" si="95"/>
        <v>38.409186873651365</v>
      </c>
      <c r="DL57" s="24">
        <f t="shared" si="95"/>
        <v>3.25</v>
      </c>
      <c r="DM57" s="13">
        <f t="shared" si="95"/>
        <v>38.35062266099079</v>
      </c>
      <c r="DN57" s="21">
        <f t="shared" si="95"/>
        <v>-1.4105</v>
      </c>
      <c r="DO57" s="24">
        <f t="shared" si="95"/>
        <v>3.25</v>
      </c>
      <c r="DP57" s="13">
        <f t="shared" si="95"/>
        <v>54.811193847341045</v>
      </c>
      <c r="DQ57" s="24">
        <f t="shared" si="95"/>
        <v>4.5</v>
      </c>
      <c r="DR57" s="13">
        <f t="shared" si="95"/>
        <v>91.84302478044005</v>
      </c>
      <c r="DS57" s="24">
        <f t="shared" si="95"/>
        <v>-2</v>
      </c>
      <c r="DT57" s="13">
        <f t="shared" si="95"/>
        <v>60.62515091807919</v>
      </c>
      <c r="DU57" s="13">
        <f t="shared" si="95"/>
        <v>28.33060520336646</v>
      </c>
      <c r="DV57" s="13">
        <f t="shared" si="95"/>
        <v>68.9223503332104</v>
      </c>
      <c r="DW57" s="13">
        <f t="shared" si="95"/>
        <v>2.5889798149312373</v>
      </c>
      <c r="DX57" s="24">
        <f t="shared" si="7"/>
        <v>25.741625388435224</v>
      </c>
      <c r="DY57" s="13">
        <f aca="true" t="shared" si="96" ref="DY57:EM57">AVERAGE(DY53:DY56)</f>
        <v>0.15806464849189167</v>
      </c>
      <c r="DZ57" s="24">
        <f t="shared" si="96"/>
        <v>-3.5</v>
      </c>
      <c r="EA57" s="13">
        <f t="shared" si="96"/>
        <v>52.97415858145581</v>
      </c>
      <c r="EB57" s="24">
        <f t="shared" si="96"/>
        <v>-3.25</v>
      </c>
      <c r="EC57" s="13">
        <f t="shared" si="96"/>
        <v>51.544641653275</v>
      </c>
      <c r="ED57" s="21">
        <f t="shared" si="96"/>
        <v>-1.264</v>
      </c>
      <c r="EE57" s="24">
        <f t="shared" si="96"/>
        <v>17</v>
      </c>
      <c r="EF57" s="13">
        <f t="shared" si="96"/>
        <v>54.21629405139803</v>
      </c>
      <c r="EG57" s="24">
        <f t="shared" si="96"/>
        <v>6.5</v>
      </c>
      <c r="EH57" s="13">
        <f t="shared" si="96"/>
        <v>81.78485946116945</v>
      </c>
      <c r="EI57" s="24">
        <f t="shared" si="96"/>
        <v>14.25</v>
      </c>
      <c r="EJ57" s="13">
        <f t="shared" si="96"/>
        <v>61.25447639862537</v>
      </c>
      <c r="EK57" s="13">
        <f t="shared" si="96"/>
        <v>32.109377503481646</v>
      </c>
      <c r="EL57" s="13">
        <f t="shared" si="96"/>
        <v>65.70856194790602</v>
      </c>
      <c r="EM57" s="13">
        <f t="shared" si="96"/>
        <v>1.6076042639617656</v>
      </c>
      <c r="EN57" s="24">
        <f t="shared" si="8"/>
        <v>30.50177323951988</v>
      </c>
      <c r="EO57" s="13">
        <f aca="true" t="shared" si="97" ref="EO57:FC57">AVERAGE(EO53:EO56)</f>
        <v>0.5744562846505605</v>
      </c>
      <c r="EP57" s="24">
        <f t="shared" si="97"/>
        <v>2</v>
      </c>
      <c r="EQ57" s="13">
        <f t="shared" si="97"/>
        <v>47.186496731308424</v>
      </c>
      <c r="ER57" s="24">
        <f t="shared" si="97"/>
        <v>6.25</v>
      </c>
      <c r="ES57" s="13">
        <f t="shared" si="97"/>
        <v>45.7968590433731</v>
      </c>
      <c r="ET57" s="21">
        <f t="shared" si="97"/>
        <v>-0.72075</v>
      </c>
      <c r="EU57" s="24">
        <f t="shared" si="97"/>
        <v>20.75</v>
      </c>
      <c r="EV57" s="13">
        <f t="shared" si="97"/>
        <v>50.47650145623449</v>
      </c>
      <c r="EW57" s="24">
        <f t="shared" si="97"/>
        <v>4</v>
      </c>
      <c r="EX57" s="13">
        <f t="shared" si="97"/>
        <v>88.56655554987674</v>
      </c>
      <c r="EY57" s="24">
        <f t="shared" si="97"/>
        <v>17.5</v>
      </c>
      <c r="EZ57" s="13">
        <f t="shared" si="97"/>
        <v>54.99664768539934</v>
      </c>
      <c r="FA57" s="13">
        <f t="shared" si="97"/>
        <v>39.0622602648414</v>
      </c>
      <c r="FB57" s="13">
        <f t="shared" si="97"/>
        <v>60.042691026879105</v>
      </c>
      <c r="FC57" s="13">
        <f t="shared" si="97"/>
        <v>2.249762902361257</v>
      </c>
      <c r="FD57" s="24">
        <f t="shared" si="9"/>
        <v>36.812497362480144</v>
      </c>
      <c r="FE57" s="13">
        <f aca="true" t="shared" si="98" ref="FE57:FU57">AVERAGE(FE53:FE56)</f>
        <v>0.39528580591823714</v>
      </c>
      <c r="FF57" s="24">
        <f t="shared" si="98"/>
        <v>-15.25</v>
      </c>
      <c r="FG57" s="13">
        <f t="shared" si="98"/>
        <v>52.007811482550615</v>
      </c>
      <c r="FH57" s="24">
        <f t="shared" si="98"/>
        <v>-16.25</v>
      </c>
      <c r="FI57" s="13">
        <f t="shared" si="98"/>
        <v>50.81709561644287</v>
      </c>
      <c r="FJ57" s="21">
        <f t="shared" si="98"/>
        <v>-2.6385000000000005</v>
      </c>
      <c r="FK57" s="24">
        <f t="shared" si="98"/>
        <v>11.25</v>
      </c>
      <c r="FL57" s="13">
        <f t="shared" si="98"/>
        <v>54.81565379764167</v>
      </c>
      <c r="FM57" s="24">
        <f t="shared" si="98"/>
        <v>8.25</v>
      </c>
      <c r="FN57" s="13">
        <f t="shared" si="98"/>
        <v>83.36650756846255</v>
      </c>
      <c r="FO57" s="24">
        <f t="shared" si="98"/>
        <v>3</v>
      </c>
      <c r="FP57" s="13">
        <f t="shared" si="98"/>
        <v>59.053351226510834</v>
      </c>
      <c r="FQ57" s="13">
        <f t="shared" si="98"/>
        <v>30.379548483223083</v>
      </c>
      <c r="FR57" s="13">
        <f t="shared" si="98"/>
        <v>65.25204550951176</v>
      </c>
      <c r="FS57" s="13">
        <f t="shared" si="98"/>
        <v>3.597853104546964</v>
      </c>
      <c r="FT57" s="13">
        <f t="shared" si="98"/>
        <v>26.78169537867612</v>
      </c>
      <c r="FU57" s="13">
        <f t="shared" si="98"/>
        <v>0.7705529027181972</v>
      </c>
    </row>
    <row r="58" spans="1:177" ht="12">
      <c r="A58" s="1" t="s">
        <v>104</v>
      </c>
      <c r="B58" s="23">
        <f>11-38</f>
        <v>-27</v>
      </c>
      <c r="C58" s="8">
        <v>50.611562136048114</v>
      </c>
      <c r="D58" s="23">
        <f>33-13</f>
        <v>20</v>
      </c>
      <c r="E58" s="8">
        <v>53.90470138680586</v>
      </c>
      <c r="F58" s="20">
        <v>0.325</v>
      </c>
      <c r="G58" s="23">
        <f>46-6</f>
        <v>40</v>
      </c>
      <c r="H58" s="8">
        <v>47.55217133161615</v>
      </c>
      <c r="I58" s="23">
        <f>4-2</f>
        <v>2</v>
      </c>
      <c r="J58" s="8">
        <v>93.72321850508867</v>
      </c>
      <c r="K58" s="23">
        <f>43-6</f>
        <v>37</v>
      </c>
      <c r="L58" s="8">
        <v>51.2651044177848</v>
      </c>
      <c r="M58" s="8">
        <v>47.25104726185083</v>
      </c>
      <c r="N58" s="8">
        <v>51.33701107729015</v>
      </c>
      <c r="O58" s="8">
        <v>1.411941660859013</v>
      </c>
      <c r="P58" s="23">
        <f t="shared" si="0"/>
        <v>45.839105600991815</v>
      </c>
      <c r="Q58" s="8">
        <v>0</v>
      </c>
      <c r="R58" s="23">
        <f>10-48</f>
        <v>-38</v>
      </c>
      <c r="S58" s="8">
        <v>41.309631513778704</v>
      </c>
      <c r="T58" s="23">
        <f>33-29</f>
        <v>4</v>
      </c>
      <c r="U58" s="8">
        <v>38.190602776795494</v>
      </c>
      <c r="V58" s="20">
        <v>-0.927</v>
      </c>
      <c r="W58" s="23">
        <f>31-7</f>
        <v>24</v>
      </c>
      <c r="X58" s="8">
        <v>62.252805809576884</v>
      </c>
      <c r="Y58" s="23">
        <f>10-4</f>
        <v>6</v>
      </c>
      <c r="Z58" s="8">
        <v>86.32097823574061</v>
      </c>
      <c r="AA58" s="23">
        <f>30-8</f>
        <v>22</v>
      </c>
      <c r="AB58" s="8">
        <v>61.31886722842147</v>
      </c>
      <c r="AC58" s="8">
        <v>38.18620014933968</v>
      </c>
      <c r="AD58" s="8">
        <v>59.11115481454169</v>
      </c>
      <c r="AE58" s="8">
        <v>2.2347803561494097</v>
      </c>
      <c r="AF58" s="23">
        <f t="shared" si="1"/>
        <v>35.951419793190276</v>
      </c>
      <c r="AG58" s="8">
        <v>0.467864679969221</v>
      </c>
      <c r="AH58" s="23">
        <f>15-35</f>
        <v>-20</v>
      </c>
      <c r="AI58" s="8">
        <v>50.030914409434715</v>
      </c>
      <c r="AJ58" s="23">
        <f>24-16</f>
        <v>8</v>
      </c>
      <c r="AK58" s="8">
        <v>60.313414572194155</v>
      </c>
      <c r="AL58" s="20">
        <v>-1.223</v>
      </c>
      <c r="AM58" s="23">
        <f>37-16</f>
        <v>21</v>
      </c>
      <c r="AN58" s="8">
        <v>46.639045616397176</v>
      </c>
      <c r="AO58" s="23">
        <f>5-2</f>
        <v>3</v>
      </c>
      <c r="AP58" s="8">
        <v>92.8189710880007</v>
      </c>
      <c r="AQ58" s="23">
        <f>30-13</f>
        <v>17</v>
      </c>
      <c r="AR58" s="8">
        <v>56.17351125153412</v>
      </c>
      <c r="AS58" s="8">
        <v>21.51108467953104</v>
      </c>
      <c r="AT58" s="8">
        <v>78.48891532046895</v>
      </c>
      <c r="AU58" s="8">
        <v>0</v>
      </c>
      <c r="AV58" s="23">
        <f t="shared" si="2"/>
        <v>21.51108467953104</v>
      </c>
      <c r="AW58" s="8">
        <v>0</v>
      </c>
      <c r="AX58" s="23">
        <f>23-28</f>
        <v>-5</v>
      </c>
      <c r="AY58" s="8">
        <v>49.461351535799665</v>
      </c>
      <c r="AZ58" s="23">
        <f>22-24</f>
        <v>-2</v>
      </c>
      <c r="BA58" s="8">
        <v>54.88337494992205</v>
      </c>
      <c r="BB58" s="20">
        <v>-0.102</v>
      </c>
      <c r="BC58" s="23">
        <f>22-8</f>
        <v>14</v>
      </c>
      <c r="BD58" s="8">
        <v>70.10996159879201</v>
      </c>
      <c r="BE58" s="23">
        <f>3-3</f>
        <v>0</v>
      </c>
      <c r="BF58" s="8">
        <v>93.5828392962024</v>
      </c>
      <c r="BG58" s="23">
        <f>22-9</f>
        <v>13</v>
      </c>
      <c r="BH58" s="8">
        <v>69.60290984445575</v>
      </c>
      <c r="BI58" s="8">
        <v>30.175645618971064</v>
      </c>
      <c r="BJ58" s="8">
        <v>68.20607109505428</v>
      </c>
      <c r="BK58" s="8">
        <v>1.0320415187475487</v>
      </c>
      <c r="BL58" s="23">
        <f t="shared" si="3"/>
        <v>29.143604100223516</v>
      </c>
      <c r="BM58" s="8">
        <v>0.5862417672271102</v>
      </c>
      <c r="BN58" s="23">
        <f>16-40</f>
        <v>-24</v>
      </c>
      <c r="BO58" s="8">
        <v>43.64338120488213</v>
      </c>
      <c r="BP58" s="23">
        <f>26-28</f>
        <v>-2</v>
      </c>
      <c r="BQ58" s="8">
        <v>45.74165983707598</v>
      </c>
      <c r="BR58" s="20">
        <v>-1.077</v>
      </c>
      <c r="BS58" s="23">
        <f>33-16</f>
        <v>17</v>
      </c>
      <c r="BT58" s="8">
        <v>51.25068280922385</v>
      </c>
      <c r="BU58" s="23">
        <f>6-3</f>
        <v>3</v>
      </c>
      <c r="BV58" s="8">
        <v>91.39052194045067</v>
      </c>
      <c r="BW58" s="23">
        <f>31-16</f>
        <v>15</v>
      </c>
      <c r="BX58" s="8">
        <v>52.56156798019418</v>
      </c>
      <c r="BY58" s="8">
        <v>30.647071141411132</v>
      </c>
      <c r="BZ58" s="8">
        <v>67.08275437851519</v>
      </c>
      <c r="CA58" s="8">
        <v>1.5418299930493211</v>
      </c>
      <c r="CB58" s="23">
        <f t="shared" si="4"/>
        <v>29.10524114836181</v>
      </c>
      <c r="CC58" s="8">
        <v>0.7283444870243628</v>
      </c>
      <c r="CD58" s="23">
        <f>11-35</f>
        <v>-24</v>
      </c>
      <c r="CE58" s="8">
        <v>53.67593738946256</v>
      </c>
      <c r="CF58" s="23">
        <f>22-15</f>
        <v>7</v>
      </c>
      <c r="CG58" s="8">
        <v>62.37764883125273</v>
      </c>
      <c r="CH58" s="20">
        <v>0.086</v>
      </c>
      <c r="CI58" s="23">
        <f>20-6</f>
        <v>14</v>
      </c>
      <c r="CJ58" s="8">
        <v>73.95106946390199</v>
      </c>
      <c r="CK58" s="23">
        <f>15-1</f>
        <v>14</v>
      </c>
      <c r="CL58" s="8">
        <v>84.27640949966315</v>
      </c>
      <c r="CM58" s="23">
        <f>20-8</f>
        <v>12</v>
      </c>
      <c r="CN58" s="8">
        <v>71.9124811516468</v>
      </c>
      <c r="CO58" s="8">
        <v>33.124472900442456</v>
      </c>
      <c r="CP58" s="8">
        <v>64.79429042400976</v>
      </c>
      <c r="CQ58" s="8">
        <v>2.081236675547789</v>
      </c>
      <c r="CR58" s="23">
        <f t="shared" si="5"/>
        <v>31.043236224894667</v>
      </c>
      <c r="CS58" s="8">
        <v>0</v>
      </c>
      <c r="CT58" s="23">
        <f>21-25</f>
        <v>-4</v>
      </c>
      <c r="CU58" s="8">
        <v>54.559199798043956</v>
      </c>
      <c r="CV58" s="23">
        <f>33-12</f>
        <v>21</v>
      </c>
      <c r="CW58" s="8">
        <v>54.9788938528203</v>
      </c>
      <c r="CX58" s="20">
        <v>0.261</v>
      </c>
      <c r="CY58" s="23">
        <f>29-11</f>
        <v>18</v>
      </c>
      <c r="CZ58" s="8">
        <v>59.72176622067171</v>
      </c>
      <c r="DA58" s="23">
        <f>5-3</f>
        <v>2</v>
      </c>
      <c r="DB58" s="8">
        <v>91.23545738166034</v>
      </c>
      <c r="DC58" s="23">
        <f>28-12</f>
        <v>16</v>
      </c>
      <c r="DD58" s="8">
        <v>60.00530228462233</v>
      </c>
      <c r="DE58" s="8">
        <v>45.41710917882735</v>
      </c>
      <c r="DF58" s="8">
        <v>51.74808435840351</v>
      </c>
      <c r="DG58" s="8">
        <v>2.834806462769131</v>
      </c>
      <c r="DH58" s="23">
        <f t="shared" si="6"/>
        <v>42.58230271605822</v>
      </c>
      <c r="DI58" s="8">
        <v>0</v>
      </c>
      <c r="DJ58" s="23">
        <f>7-27</f>
        <v>-20</v>
      </c>
      <c r="DK58" s="8">
        <v>65.64602054425474</v>
      </c>
      <c r="DL58" s="23">
        <f>28-18</f>
        <v>10</v>
      </c>
      <c r="DM58" s="8">
        <v>53.709369623151446</v>
      </c>
      <c r="DN58" s="20">
        <v>-1.098</v>
      </c>
      <c r="DO58" s="23">
        <f>31-7</f>
        <v>24</v>
      </c>
      <c r="DP58" s="8">
        <v>61.835686748263086</v>
      </c>
      <c r="DQ58" s="23">
        <f>4-3</f>
        <v>1</v>
      </c>
      <c r="DR58" s="8">
        <v>93.39320306187304</v>
      </c>
      <c r="DS58" s="23">
        <f>21-8</f>
        <v>13</v>
      </c>
      <c r="DT58" s="8">
        <v>70.57003339968539</v>
      </c>
      <c r="DU58" s="8">
        <v>24.692457679594792</v>
      </c>
      <c r="DV58" s="8">
        <v>72.71239194471698</v>
      </c>
      <c r="DW58" s="8">
        <v>2.595150375688232</v>
      </c>
      <c r="DX58" s="23">
        <f t="shared" si="7"/>
        <v>22.09730730390656</v>
      </c>
      <c r="DY58" s="8">
        <v>0</v>
      </c>
      <c r="DZ58" s="23">
        <f>11-27</f>
        <v>-16</v>
      </c>
      <c r="EA58" s="8">
        <v>62.4612414765828</v>
      </c>
      <c r="EB58" s="23">
        <f>22-13</f>
        <v>9</v>
      </c>
      <c r="EC58" s="8">
        <v>64.5907975899297</v>
      </c>
      <c r="ED58" s="20">
        <v>0.434</v>
      </c>
      <c r="EE58" s="23">
        <f>34-4</f>
        <v>30</v>
      </c>
      <c r="EF58" s="8">
        <v>61.78471496223262</v>
      </c>
      <c r="EG58" s="23">
        <f>4-0</f>
        <v>4</v>
      </c>
      <c r="EH58" s="8">
        <v>95.94898991021807</v>
      </c>
      <c r="EI58" s="23">
        <f>31-3</f>
        <v>28</v>
      </c>
      <c r="EJ58" s="8">
        <v>65.97708728079019</v>
      </c>
      <c r="EK58" s="8">
        <v>25.150641015505148</v>
      </c>
      <c r="EL58" s="8">
        <v>74.84935898449486</v>
      </c>
      <c r="EM58" s="8">
        <v>0</v>
      </c>
      <c r="EN58" s="23">
        <f t="shared" si="8"/>
        <v>25.150641015505148</v>
      </c>
      <c r="EO58" s="8">
        <v>0</v>
      </c>
      <c r="EP58" s="23">
        <f>14-34</f>
        <v>-20</v>
      </c>
      <c r="EQ58" s="8">
        <v>52.09488373943619</v>
      </c>
      <c r="ER58" s="23">
        <f>28-18</f>
        <v>10</v>
      </c>
      <c r="ES58" s="8">
        <v>54.092915868866285</v>
      </c>
      <c r="ET58" s="20">
        <v>-0.248</v>
      </c>
      <c r="EU58" s="23">
        <f>34-9</f>
        <v>25</v>
      </c>
      <c r="EV58" s="8">
        <v>57.7184476432132</v>
      </c>
      <c r="EW58" s="23">
        <f>5-2</f>
        <v>3</v>
      </c>
      <c r="EX58" s="8">
        <v>92.12140984975122</v>
      </c>
      <c r="EY58" s="23">
        <f>31-9</f>
        <v>22</v>
      </c>
      <c r="EZ58" s="8">
        <v>60.56548306501175</v>
      </c>
      <c r="FA58" s="8">
        <v>35.19624386702483</v>
      </c>
      <c r="FB58" s="8">
        <v>63.12159031081921</v>
      </c>
      <c r="FC58" s="8">
        <v>1.4940808908347174</v>
      </c>
      <c r="FD58" s="23">
        <f t="shared" si="9"/>
        <v>33.70216297619012</v>
      </c>
      <c r="FE58" s="8">
        <v>0.18808493132123874</v>
      </c>
      <c r="FF58" s="23">
        <f>8-38</f>
        <v>-30</v>
      </c>
      <c r="FG58" s="8">
        <v>54.306733973535614</v>
      </c>
      <c r="FH58" s="23">
        <f>14-30</f>
        <v>-16</v>
      </c>
      <c r="FI58" s="8">
        <v>56.07240357638854</v>
      </c>
      <c r="FJ58" s="20">
        <v>-1.883</v>
      </c>
      <c r="FK58" s="23">
        <f>36-9</f>
        <v>27</v>
      </c>
      <c r="FL58" s="8">
        <v>55.46455654825571</v>
      </c>
      <c r="FM58" s="23">
        <f>7-3</f>
        <v>4</v>
      </c>
      <c r="FN58" s="8">
        <v>89.65104581526927</v>
      </c>
      <c r="FO58" s="23">
        <f>29-11</f>
        <v>18</v>
      </c>
      <c r="FP58" s="8">
        <v>60.54305567592675</v>
      </c>
      <c r="FQ58" s="8">
        <v>26.290025158579823</v>
      </c>
      <c r="FR58" s="8">
        <v>72.3211184743334</v>
      </c>
      <c r="FS58" s="8">
        <v>0.942177719889999</v>
      </c>
      <c r="FT58" s="112">
        <f>FQ58-FS58</f>
        <v>25.347847438689826</v>
      </c>
      <c r="FU58" s="23">
        <v>0.446678647196773</v>
      </c>
    </row>
    <row r="59" spans="1:177" ht="12">
      <c r="A59" s="1" t="s">
        <v>36</v>
      </c>
      <c r="B59" s="23">
        <f>14-20</f>
        <v>-6</v>
      </c>
      <c r="C59" s="8">
        <v>66.00224810411773</v>
      </c>
      <c r="D59" s="23">
        <f>16-38</f>
        <v>-22</v>
      </c>
      <c r="E59" s="8">
        <v>45.49158311650559</v>
      </c>
      <c r="F59" s="20">
        <v>-1.15</v>
      </c>
      <c r="G59" s="23">
        <f>29-19</f>
        <v>10</v>
      </c>
      <c r="H59" s="8">
        <v>51.665447202467995</v>
      </c>
      <c r="I59" s="23">
        <f>4-2</f>
        <v>2</v>
      </c>
      <c r="J59" s="8">
        <v>93.29825991183</v>
      </c>
      <c r="K59" s="23">
        <f>19-15</f>
        <v>4</v>
      </c>
      <c r="L59" s="8">
        <v>65.77318841989421</v>
      </c>
      <c r="M59" s="8">
        <v>38.434487238221486</v>
      </c>
      <c r="N59" s="8">
        <v>59.183140213758044</v>
      </c>
      <c r="O59" s="8">
        <v>1.1327109318793427</v>
      </c>
      <c r="P59" s="23">
        <f t="shared" si="0"/>
        <v>37.30177630634214</v>
      </c>
      <c r="Q59" s="8">
        <v>1.2496616161411258</v>
      </c>
      <c r="R59" s="23">
        <f>29-14</f>
        <v>15</v>
      </c>
      <c r="S59" s="8">
        <v>57.11442362309022</v>
      </c>
      <c r="T59" s="23">
        <f>18-17</f>
        <v>1</v>
      </c>
      <c r="U59" s="8">
        <v>65.6284815842277</v>
      </c>
      <c r="V59" s="20">
        <v>-0.122</v>
      </c>
      <c r="W59" s="23">
        <f>20-11</f>
        <v>9</v>
      </c>
      <c r="X59" s="8">
        <v>69.69295162907848</v>
      </c>
      <c r="Y59" s="23">
        <f>5-2</f>
        <v>3</v>
      </c>
      <c r="Z59" s="8">
        <v>92.5443619848935</v>
      </c>
      <c r="AA59" s="23">
        <f>13-11</f>
        <v>2</v>
      </c>
      <c r="AB59" s="8">
        <v>75.41407790828579</v>
      </c>
      <c r="AC59" s="8">
        <v>33.407502479701684</v>
      </c>
      <c r="AD59" s="8">
        <v>65.20965316162007</v>
      </c>
      <c r="AE59" s="8">
        <v>1.382844358678252</v>
      </c>
      <c r="AF59" s="23">
        <f t="shared" si="1"/>
        <v>32.024658121023435</v>
      </c>
      <c r="AG59" s="8">
        <v>0</v>
      </c>
      <c r="AH59" s="23">
        <f>21-36</f>
        <v>-15</v>
      </c>
      <c r="AI59" s="8">
        <v>42.831819839153205</v>
      </c>
      <c r="AJ59" s="23">
        <f>29-33</f>
        <v>-4</v>
      </c>
      <c r="AK59" s="8">
        <v>37.963114127337995</v>
      </c>
      <c r="AL59" s="20">
        <v>-0.41</v>
      </c>
      <c r="AM59" s="23">
        <f>36-14</f>
        <v>22</v>
      </c>
      <c r="AN59" s="8">
        <v>50.6970928869326</v>
      </c>
      <c r="AO59" s="23">
        <f>5-2</f>
        <v>3</v>
      </c>
      <c r="AP59" s="8">
        <v>92.436364159855</v>
      </c>
      <c r="AQ59" s="23">
        <f>33-15</f>
        <v>18</v>
      </c>
      <c r="AR59" s="8">
        <v>52.64708552961673</v>
      </c>
      <c r="AS59" s="8">
        <v>23.229118035549142</v>
      </c>
      <c r="AT59" s="8">
        <v>74.40383652296097</v>
      </c>
      <c r="AU59" s="8">
        <v>2.3670454414898847</v>
      </c>
      <c r="AV59" s="23">
        <f t="shared" si="2"/>
        <v>20.862072594059256</v>
      </c>
      <c r="AW59" s="8">
        <v>0</v>
      </c>
      <c r="AX59" s="23">
        <f>28-14</f>
        <v>14</v>
      </c>
      <c r="AY59" s="8">
        <v>58.320816401087384</v>
      </c>
      <c r="AZ59" s="23">
        <f>17-22</f>
        <v>-5</v>
      </c>
      <c r="BA59" s="8">
        <v>61.42544355252709</v>
      </c>
      <c r="BB59" s="20">
        <v>-0.4</v>
      </c>
      <c r="BC59" s="23">
        <f>28-12</f>
        <v>16</v>
      </c>
      <c r="BD59" s="8">
        <v>59.70665102511629</v>
      </c>
      <c r="BE59" s="23">
        <f>5-2</f>
        <v>3</v>
      </c>
      <c r="BF59" s="8">
        <v>93.19478389262494</v>
      </c>
      <c r="BG59" s="23">
        <f>17-10</f>
        <v>7</v>
      </c>
      <c r="BH59" s="8">
        <v>72.55414480190251</v>
      </c>
      <c r="BI59" s="8">
        <v>33.3533547530835</v>
      </c>
      <c r="BJ59" s="8">
        <v>64.05785580303667</v>
      </c>
      <c r="BK59" s="8">
        <v>2.5887894438798233</v>
      </c>
      <c r="BL59" s="23">
        <f t="shared" si="3"/>
        <v>30.76456530920368</v>
      </c>
      <c r="BM59" s="8">
        <v>0</v>
      </c>
      <c r="BN59" s="23">
        <f>19-21</f>
        <v>-2</v>
      </c>
      <c r="BO59" s="8">
        <v>59.7369709665044</v>
      </c>
      <c r="BP59" s="23">
        <f>28-24</f>
        <v>4</v>
      </c>
      <c r="BQ59" s="8">
        <v>48.87870126678575</v>
      </c>
      <c r="BR59" s="20">
        <v>-0.774</v>
      </c>
      <c r="BS59" s="23">
        <f>22-17</f>
        <v>5</v>
      </c>
      <c r="BT59" s="8">
        <v>60.78543510352142</v>
      </c>
      <c r="BU59" s="23">
        <f>9-2</f>
        <v>7</v>
      </c>
      <c r="BV59" s="8">
        <v>88.71387976345267</v>
      </c>
      <c r="BW59" s="23">
        <f>18-15</f>
        <v>3</v>
      </c>
      <c r="BX59" s="8">
        <v>66.54201523565713</v>
      </c>
      <c r="BY59" s="8">
        <v>21.36873215808969</v>
      </c>
      <c r="BZ59" s="8">
        <v>76.09450954779288</v>
      </c>
      <c r="CA59" s="8">
        <v>1.661276434232166</v>
      </c>
      <c r="CB59" s="23">
        <f t="shared" si="4"/>
        <v>19.70745572385752</v>
      </c>
      <c r="CC59" s="8">
        <v>0.8754818598852713</v>
      </c>
      <c r="CD59" s="23">
        <f>29-11</f>
        <v>18</v>
      </c>
      <c r="CE59" s="8">
        <v>60.76940928827557</v>
      </c>
      <c r="CF59" s="23">
        <f>25-13</f>
        <v>12</v>
      </c>
      <c r="CG59" s="8">
        <v>61.823409422738564</v>
      </c>
      <c r="CH59" s="20">
        <v>-0.041</v>
      </c>
      <c r="CI59" s="23">
        <f>42-13</f>
        <v>29</v>
      </c>
      <c r="CJ59" s="8">
        <v>45.15835804752151</v>
      </c>
      <c r="CK59" s="23">
        <f>3-5</f>
        <v>-2</v>
      </c>
      <c r="CL59" s="8">
        <v>91.68017213977521</v>
      </c>
      <c r="CM59" s="23">
        <f>36-11</f>
        <v>25</v>
      </c>
      <c r="CN59" s="8">
        <v>52.3378164481065</v>
      </c>
      <c r="CO59" s="8">
        <v>25.083412824462233</v>
      </c>
      <c r="CP59" s="8">
        <v>74.17853173814186</v>
      </c>
      <c r="CQ59" s="8">
        <v>0.7380554373959056</v>
      </c>
      <c r="CR59" s="23">
        <f t="shared" si="5"/>
        <v>24.345357387066326</v>
      </c>
      <c r="CS59" s="8">
        <v>0</v>
      </c>
      <c r="CT59" s="23">
        <f>35-13</f>
        <v>22</v>
      </c>
      <c r="CU59" s="8">
        <v>52.23989089312108</v>
      </c>
      <c r="CV59" s="23">
        <f>30-14</f>
        <v>16</v>
      </c>
      <c r="CW59" s="8">
        <v>55.772636008464126</v>
      </c>
      <c r="CX59" s="20">
        <v>0.776</v>
      </c>
      <c r="CY59" s="23">
        <f>40-8</f>
        <v>32</v>
      </c>
      <c r="CZ59" s="8">
        <v>51.71140357415822</v>
      </c>
      <c r="DA59" s="23">
        <f>4-1</f>
        <v>3</v>
      </c>
      <c r="DB59" s="8">
        <v>94.81024153180712</v>
      </c>
      <c r="DC59" s="23">
        <f>27-7</f>
        <v>20</v>
      </c>
      <c r="DD59" s="8">
        <v>65.48707386020322</v>
      </c>
      <c r="DE59" s="8">
        <v>37.98790498932236</v>
      </c>
      <c r="DF59" s="8">
        <v>61.134364234222716</v>
      </c>
      <c r="DG59" s="8">
        <v>0.8777307764549152</v>
      </c>
      <c r="DH59" s="23">
        <f t="shared" si="6"/>
        <v>37.11017421286744</v>
      </c>
      <c r="DI59" s="8">
        <v>0</v>
      </c>
      <c r="DJ59" s="23">
        <f>31-22</f>
        <v>9</v>
      </c>
      <c r="DK59" s="8">
        <v>47.13090614062849</v>
      </c>
      <c r="DL59" s="23">
        <f>26-19</f>
        <v>7</v>
      </c>
      <c r="DM59" s="8">
        <v>54.72395121036039</v>
      </c>
      <c r="DN59" s="20">
        <v>-0.383</v>
      </c>
      <c r="DO59" s="23">
        <f>16-12</f>
        <v>4</v>
      </c>
      <c r="DP59" s="8">
        <v>71.7901430001383</v>
      </c>
      <c r="DQ59" s="23">
        <f>14-2</f>
        <v>12</v>
      </c>
      <c r="DR59" s="8">
        <v>83.97933793831773</v>
      </c>
      <c r="DS59" s="23">
        <f>11-15</f>
        <v>-4</v>
      </c>
      <c r="DT59" s="8">
        <v>74.15424749010839</v>
      </c>
      <c r="DU59" s="8">
        <v>15.458724337739879</v>
      </c>
      <c r="DV59" s="8">
        <v>80.75422226721915</v>
      </c>
      <c r="DW59" s="8">
        <v>2.9344396804870048</v>
      </c>
      <c r="DX59" s="23">
        <f t="shared" si="7"/>
        <v>12.524284657252874</v>
      </c>
      <c r="DY59" s="8">
        <v>0.8526137145539691</v>
      </c>
      <c r="DZ59" s="23">
        <f>10-36</f>
        <v>-26</v>
      </c>
      <c r="EA59" s="8">
        <v>53.29277069823532</v>
      </c>
      <c r="EB59" s="23">
        <f>6-31</f>
        <v>-25</v>
      </c>
      <c r="EC59" s="8">
        <v>63.02338830184948</v>
      </c>
      <c r="ED59" s="20">
        <v>-2.595</v>
      </c>
      <c r="EE59" s="23">
        <f>27-22</f>
        <v>5</v>
      </c>
      <c r="EF59" s="8">
        <v>51.87051576227073</v>
      </c>
      <c r="EG59" s="23">
        <f>12-5</f>
        <v>7</v>
      </c>
      <c r="EH59" s="8">
        <v>82.30157549959218</v>
      </c>
      <c r="EI59" s="23">
        <f>20-22</f>
        <v>-2</v>
      </c>
      <c r="EJ59" s="8">
        <v>57.49597634398101</v>
      </c>
      <c r="EK59" s="8">
        <v>23.4524361954403</v>
      </c>
      <c r="EL59" s="8">
        <v>74.78669543776344</v>
      </c>
      <c r="EM59" s="8">
        <v>1.6281098127650127</v>
      </c>
      <c r="EN59" s="23">
        <f t="shared" si="8"/>
        <v>21.824326382675288</v>
      </c>
      <c r="EO59" s="8">
        <v>0.13275855403125275</v>
      </c>
      <c r="EP59" s="23">
        <f>22-20</f>
        <v>2</v>
      </c>
      <c r="EQ59" s="8">
        <v>57.11131356721052</v>
      </c>
      <c r="ER59" s="23">
        <f>21-26</f>
        <v>-5</v>
      </c>
      <c r="ES59" s="8">
        <v>53.527657767504245</v>
      </c>
      <c r="ET59" s="20">
        <v>-0.661</v>
      </c>
      <c r="EU59" s="23">
        <f>29-15</f>
        <v>14</v>
      </c>
      <c r="EV59" s="8">
        <v>56.64728925168377</v>
      </c>
      <c r="EW59" s="23">
        <f>7-2</f>
        <v>5</v>
      </c>
      <c r="EX59" s="8">
        <v>90.8862555049734</v>
      </c>
      <c r="EY59" s="23">
        <f>21-14</f>
        <v>7</v>
      </c>
      <c r="EZ59" s="8">
        <v>65.73658132406544</v>
      </c>
      <c r="FA59" s="8">
        <v>29.979153237079974</v>
      </c>
      <c r="FB59" s="8">
        <v>67.8361738042241</v>
      </c>
      <c r="FC59" s="8">
        <v>1.6837290797676006</v>
      </c>
      <c r="FD59" s="23">
        <f t="shared" si="9"/>
        <v>28.29542415731237</v>
      </c>
      <c r="FE59" s="8">
        <v>0.5009438789283182</v>
      </c>
      <c r="FF59" s="24">
        <f>19-31</f>
        <v>-12</v>
      </c>
      <c r="FG59" s="8">
        <v>49.86638434408249</v>
      </c>
      <c r="FH59" s="24">
        <f>17-31</f>
        <v>-14</v>
      </c>
      <c r="FI59" s="8">
        <v>52.25663086480128</v>
      </c>
      <c r="FJ59" s="20">
        <v>-1.494</v>
      </c>
      <c r="FK59" s="24">
        <f>24-20</f>
        <v>4</v>
      </c>
      <c r="FL59" s="10">
        <v>55.87081768768588</v>
      </c>
      <c r="FM59" s="24">
        <f>11-4</f>
        <v>7</v>
      </c>
      <c r="FN59" s="10">
        <v>85.20593685124172</v>
      </c>
      <c r="FO59" s="24">
        <f>20-21</f>
        <v>-1</v>
      </c>
      <c r="FP59" s="25">
        <v>58.68293276233679</v>
      </c>
      <c r="FQ59" s="8">
        <v>25.283510784057743</v>
      </c>
      <c r="FR59" s="8">
        <v>69.11983680917054</v>
      </c>
      <c r="FS59" s="8">
        <v>3.931514035960372</v>
      </c>
      <c r="FT59" s="112">
        <f>FQ59-FS59</f>
        <v>21.35199674809737</v>
      </c>
      <c r="FU59" s="23">
        <v>1.6651383708113543</v>
      </c>
    </row>
    <row r="60" spans="1:177" ht="12">
      <c r="A60" s="1" t="s">
        <v>32</v>
      </c>
      <c r="B60" s="23">
        <f>28-32</f>
        <v>-4</v>
      </c>
      <c r="C60" s="8">
        <v>39.446723377470576</v>
      </c>
      <c r="D60" s="23">
        <f>23-36</f>
        <v>-13</v>
      </c>
      <c r="E60" s="8">
        <v>40.568828403564545</v>
      </c>
      <c r="F60" s="20">
        <v>-2.671</v>
      </c>
      <c r="G60" s="23">
        <f>41-11</f>
        <v>30</v>
      </c>
      <c r="H60" s="8">
        <v>47.47015955111023</v>
      </c>
      <c r="I60" s="23">
        <f>9-3</f>
        <v>6</v>
      </c>
      <c r="J60" s="8">
        <v>87.84926896853631</v>
      </c>
      <c r="K60" s="23">
        <f>39-14</f>
        <v>25</v>
      </c>
      <c r="L60" s="8">
        <v>46.577203988673446</v>
      </c>
      <c r="M60" s="8">
        <v>54.225490370501376</v>
      </c>
      <c r="N60" s="8">
        <v>44.75878996815909</v>
      </c>
      <c r="O60" s="8">
        <v>1.0157196613395356</v>
      </c>
      <c r="P60" s="23">
        <f t="shared" si="0"/>
        <v>53.20977070916184</v>
      </c>
      <c r="Q60" s="8">
        <v>0</v>
      </c>
      <c r="R60" s="23">
        <f>29-23</f>
        <v>6</v>
      </c>
      <c r="S60" s="8">
        <v>47.829363283138235</v>
      </c>
      <c r="T60" s="23">
        <f>38-30</f>
        <v>8</v>
      </c>
      <c r="U60" s="8">
        <v>31.11627313953502</v>
      </c>
      <c r="V60" s="20">
        <v>-2.441</v>
      </c>
      <c r="W60" s="23">
        <f>33-13</f>
        <v>20</v>
      </c>
      <c r="X60" s="8">
        <v>54.22260644807982</v>
      </c>
      <c r="Y60" s="23">
        <f>14-5</f>
        <v>9</v>
      </c>
      <c r="Z60" s="8">
        <v>80.43088898448732</v>
      </c>
      <c r="AA60" s="23">
        <f>23-13</f>
        <v>10</v>
      </c>
      <c r="AB60" s="8">
        <v>64.47129163335579</v>
      </c>
      <c r="AC60" s="8">
        <v>40.17895055190618</v>
      </c>
      <c r="AD60" s="8">
        <v>55.76799302501644</v>
      </c>
      <c r="AE60" s="8">
        <v>3.3171312307859324</v>
      </c>
      <c r="AF60" s="23">
        <f t="shared" si="1"/>
        <v>36.86181932112025</v>
      </c>
      <c r="AG60" s="8">
        <v>0.7359251922914493</v>
      </c>
      <c r="AH60" s="23">
        <f>23-42</f>
        <v>-19</v>
      </c>
      <c r="AI60" s="8">
        <v>34.97063055518822</v>
      </c>
      <c r="AJ60" s="23">
        <f>26-28</f>
        <v>-2</v>
      </c>
      <c r="AK60" s="8">
        <v>45.53719482876319</v>
      </c>
      <c r="AL60" s="20">
        <v>-1.368</v>
      </c>
      <c r="AM60" s="23">
        <f>45-13</f>
        <v>32</v>
      </c>
      <c r="AN60" s="8">
        <v>42.417561306740545</v>
      </c>
      <c r="AO60" s="23">
        <f>11-4</f>
        <v>7</v>
      </c>
      <c r="AP60" s="8">
        <v>85.25208039821742</v>
      </c>
      <c r="AQ60" s="23">
        <f>40-13</f>
        <v>27</v>
      </c>
      <c r="AR60" s="8">
        <v>47.20177518802534</v>
      </c>
      <c r="AS60" s="8">
        <v>32.75326749750806</v>
      </c>
      <c r="AT60" s="8">
        <v>64.95313545615056</v>
      </c>
      <c r="AU60" s="8">
        <v>0.761071562647376</v>
      </c>
      <c r="AV60" s="23">
        <f t="shared" si="2"/>
        <v>31.992195934860685</v>
      </c>
      <c r="AW60" s="8">
        <v>1.5325254836940003</v>
      </c>
      <c r="AX60" s="23">
        <f>29-23</f>
        <v>6</v>
      </c>
      <c r="AY60" s="8">
        <v>47.91587395490971</v>
      </c>
      <c r="AZ60" s="23">
        <f>26-23</f>
        <v>3</v>
      </c>
      <c r="BA60" s="8">
        <v>50.245169737470654</v>
      </c>
      <c r="BB60" s="20">
        <v>-1.263</v>
      </c>
      <c r="BC60" s="23">
        <f>33-9</f>
        <v>24</v>
      </c>
      <c r="BD60" s="8">
        <v>58.8482635272242</v>
      </c>
      <c r="BE60" s="23">
        <f>5-1</f>
        <v>4</v>
      </c>
      <c r="BF60" s="8">
        <v>93.83597531374758</v>
      </c>
      <c r="BG60" s="23">
        <f>31-8</f>
        <v>23</v>
      </c>
      <c r="BH60" s="8">
        <v>61.00972307736156</v>
      </c>
      <c r="BI60" s="8">
        <v>35.47090403640573</v>
      </c>
      <c r="BJ60" s="8">
        <v>61.28771160276914</v>
      </c>
      <c r="BK60" s="8">
        <v>1.030885524767742</v>
      </c>
      <c r="BL60" s="23">
        <f t="shared" si="3"/>
        <v>34.44001851163799</v>
      </c>
      <c r="BM60" s="8">
        <v>2.210498836057385</v>
      </c>
      <c r="BN60" s="23">
        <f>29-26</f>
        <v>3</v>
      </c>
      <c r="BO60" s="8">
        <v>44.243258122477535</v>
      </c>
      <c r="BP60" s="23">
        <f>25-33</f>
        <v>-8</v>
      </c>
      <c r="BQ60" s="8">
        <v>42.4135658063518</v>
      </c>
      <c r="BR60" s="20">
        <v>-2.021</v>
      </c>
      <c r="BS60" s="23">
        <f>47-13</f>
        <v>34</v>
      </c>
      <c r="BT60" s="8">
        <v>39.95807696658805</v>
      </c>
      <c r="BU60" s="23">
        <f>6-1</f>
        <v>5</v>
      </c>
      <c r="BV60" s="8">
        <v>92.70799422862788</v>
      </c>
      <c r="BW60" s="23">
        <f>48-14</f>
        <v>34</v>
      </c>
      <c r="BX60" s="8">
        <v>38.025182938121056</v>
      </c>
      <c r="BY60" s="8">
        <v>21.88895156583479</v>
      </c>
      <c r="BZ60" s="8">
        <v>77.70265614716895</v>
      </c>
      <c r="CA60" s="8">
        <v>0.18595058279374596</v>
      </c>
      <c r="CB60" s="23">
        <f t="shared" si="4"/>
        <v>21.703000983041044</v>
      </c>
      <c r="CC60" s="8">
        <v>0.22244170420251028</v>
      </c>
      <c r="CD60" s="23">
        <f>23-34</f>
        <v>-11</v>
      </c>
      <c r="CE60" s="8">
        <v>43.2540160606948</v>
      </c>
      <c r="CF60" s="23">
        <f>26-34</f>
        <v>-8</v>
      </c>
      <c r="CG60" s="8">
        <v>40.09533400729869</v>
      </c>
      <c r="CH60" s="20">
        <v>-2.11</v>
      </c>
      <c r="CI60" s="23">
        <f>50-8</f>
        <v>42</v>
      </c>
      <c r="CJ60" s="8">
        <v>42.15574975864738</v>
      </c>
      <c r="CK60" s="23">
        <f>12-1</f>
        <v>11</v>
      </c>
      <c r="CL60" s="8">
        <v>86.29901449400658</v>
      </c>
      <c r="CM60" s="23">
        <f>41-16</f>
        <v>25</v>
      </c>
      <c r="CN60" s="8">
        <v>42.79951652705117</v>
      </c>
      <c r="CO60" s="8">
        <v>30.97651783242487</v>
      </c>
      <c r="CP60" s="8">
        <v>68.15376496428846</v>
      </c>
      <c r="CQ60" s="8">
        <v>0.39042989977706366</v>
      </c>
      <c r="CR60" s="23">
        <f t="shared" si="5"/>
        <v>30.586087932647807</v>
      </c>
      <c r="CS60" s="8">
        <v>0.47928730350961046</v>
      </c>
      <c r="CT60" s="23">
        <f>43-25</f>
        <v>18</v>
      </c>
      <c r="CU60" s="8">
        <v>31.919302340279167</v>
      </c>
      <c r="CV60" s="23">
        <f>40-29</f>
        <v>11</v>
      </c>
      <c r="CW60" s="8">
        <v>31.158214995978987</v>
      </c>
      <c r="CX60" s="20">
        <v>-0.567</v>
      </c>
      <c r="CY60" s="23">
        <f>51-19</f>
        <v>32</v>
      </c>
      <c r="CZ60" s="8">
        <v>30.16401312308127</v>
      </c>
      <c r="DA60" s="23">
        <f>7-7</f>
        <v>0</v>
      </c>
      <c r="DB60" s="8">
        <v>86.14805665621489</v>
      </c>
      <c r="DC60" s="23">
        <f>45-19</f>
        <v>26</v>
      </c>
      <c r="DD60" s="8">
        <v>35.33433560249187</v>
      </c>
      <c r="DE60" s="8">
        <v>47.98456393863296</v>
      </c>
      <c r="DF60" s="8">
        <v>51.107010662780894</v>
      </c>
      <c r="DG60" s="8">
        <v>0.9084253985861462</v>
      </c>
      <c r="DH60" s="23">
        <f t="shared" si="6"/>
        <v>47.07613854004681</v>
      </c>
      <c r="DI60" s="8">
        <v>0</v>
      </c>
      <c r="DJ60" s="23">
        <f>21-41</f>
        <v>-20</v>
      </c>
      <c r="DK60" s="8">
        <v>37.94646711186013</v>
      </c>
      <c r="DL60" s="23">
        <f>26-40</f>
        <v>-14</v>
      </c>
      <c r="DM60" s="8">
        <v>33.88436438306594</v>
      </c>
      <c r="DN60" s="20">
        <v>-3.862</v>
      </c>
      <c r="DO60" s="23">
        <f>43-17</f>
        <v>26</v>
      </c>
      <c r="DP60" s="8">
        <v>39.94583166804435</v>
      </c>
      <c r="DQ60" s="23">
        <f>15-1</f>
        <v>14</v>
      </c>
      <c r="DR60" s="8">
        <v>83.78891972692209</v>
      </c>
      <c r="DS60" s="23">
        <f>41-19</f>
        <v>22</v>
      </c>
      <c r="DT60" s="8">
        <v>40.375960976584</v>
      </c>
      <c r="DU60" s="8">
        <v>13.253062591632162</v>
      </c>
      <c r="DV60" s="8">
        <v>83.30627234309821</v>
      </c>
      <c r="DW60" s="8">
        <v>2.8952368464908953</v>
      </c>
      <c r="DX60" s="23">
        <f t="shared" si="7"/>
        <v>10.357825745141266</v>
      </c>
      <c r="DY60" s="8">
        <v>0.5454282187787356</v>
      </c>
      <c r="DZ60" s="23">
        <f>28-22</f>
        <v>6</v>
      </c>
      <c r="EA60" s="8">
        <v>50.568166621352304</v>
      </c>
      <c r="EB60" s="23">
        <f>23-27</f>
        <v>-4</v>
      </c>
      <c r="EC60" s="8">
        <v>49.67520441932784</v>
      </c>
      <c r="ED60" s="20">
        <v>-2.062</v>
      </c>
      <c r="EE60" s="23">
        <f>36-12</f>
        <v>24</v>
      </c>
      <c r="EF60" s="8">
        <v>52.35803230152452</v>
      </c>
      <c r="EG60" s="23">
        <f>5-2</f>
        <v>3</v>
      </c>
      <c r="EH60" s="8">
        <v>93.6276433008691</v>
      </c>
      <c r="EI60" s="23">
        <f>28-15</f>
        <v>13</v>
      </c>
      <c r="EJ60" s="8">
        <v>57.40008191114978</v>
      </c>
      <c r="EK60" s="8">
        <v>25.201336192615482</v>
      </c>
      <c r="EL60" s="8">
        <v>70.81375294885521</v>
      </c>
      <c r="EM60" s="8">
        <v>3.761406018327942</v>
      </c>
      <c r="EN60" s="23">
        <f t="shared" si="8"/>
        <v>21.43993017428754</v>
      </c>
      <c r="EO60" s="8">
        <v>0.22350484020136227</v>
      </c>
      <c r="EP60" s="23">
        <f>28-30</f>
        <v>-2</v>
      </c>
      <c r="EQ60" s="8">
        <v>41.757073240949936</v>
      </c>
      <c r="ER60" s="23">
        <f>27-32</f>
        <v>-5</v>
      </c>
      <c r="ES60" s="8">
        <v>40.95869958240396</v>
      </c>
      <c r="ET60" s="20">
        <v>-2.122</v>
      </c>
      <c r="EU60" s="23">
        <f>41-12</f>
        <v>29</v>
      </c>
      <c r="EV60" s="8">
        <v>46.24295103268558</v>
      </c>
      <c r="EW60" s="23">
        <f>9-3</f>
        <v>6</v>
      </c>
      <c r="EX60" s="8">
        <v>88.15586136510704</v>
      </c>
      <c r="EY60" s="23">
        <f>37-14</f>
        <v>23</v>
      </c>
      <c r="EZ60" s="8">
        <v>48.36132856821118</v>
      </c>
      <c r="FA60" s="8">
        <v>36.98532011601496</v>
      </c>
      <c r="FB60" s="8">
        <v>60.908825000027235</v>
      </c>
      <c r="FC60" s="8">
        <v>1.480658867682726</v>
      </c>
      <c r="FD60" s="23">
        <f t="shared" si="9"/>
        <v>35.50466124833223</v>
      </c>
      <c r="FE60" s="8">
        <v>0.6251960162750902</v>
      </c>
      <c r="FF60" s="23">
        <f>16-39</f>
        <v>-23</v>
      </c>
      <c r="FG60" s="8">
        <v>45.03572384717898</v>
      </c>
      <c r="FH60" s="23">
        <f>14-38</f>
        <v>-24</v>
      </c>
      <c r="FI60" s="8">
        <v>47.65989579710047</v>
      </c>
      <c r="FJ60" s="20">
        <v>-3.128</v>
      </c>
      <c r="FK60" s="23">
        <f>35-17</f>
        <v>18</v>
      </c>
      <c r="FL60" s="8">
        <v>47.942241109132226</v>
      </c>
      <c r="FM60" s="23">
        <f>14-4</f>
        <v>10</v>
      </c>
      <c r="FN60" s="8">
        <v>81.68269924219027</v>
      </c>
      <c r="FO60" s="23">
        <f>27-19</f>
        <v>8</v>
      </c>
      <c r="FP60" s="8">
        <v>54.2035776863505</v>
      </c>
      <c r="FQ60" s="8">
        <v>28.47781387966799</v>
      </c>
      <c r="FR60" s="8">
        <v>67.50279814891134</v>
      </c>
      <c r="FS60" s="8">
        <v>2.5478088694820427</v>
      </c>
      <c r="FT60" s="112">
        <f>FQ60-FS60</f>
        <v>25.930005010185948</v>
      </c>
      <c r="FU60" s="23">
        <v>1.4715791019386306</v>
      </c>
    </row>
    <row r="61" spans="1:177" ht="12">
      <c r="A61" s="1" t="s">
        <v>33</v>
      </c>
      <c r="B61" s="23">
        <f>35-36</f>
        <v>-1</v>
      </c>
      <c r="C61" s="8">
        <v>28.860742790937426</v>
      </c>
      <c r="D61" s="23">
        <f>20-44</f>
        <v>-24</v>
      </c>
      <c r="E61" s="8">
        <v>35.8694779325932</v>
      </c>
      <c r="F61" s="20">
        <v>-3.278</v>
      </c>
      <c r="G61" s="23">
        <f>19-44</f>
        <v>-25</v>
      </c>
      <c r="H61" s="8">
        <v>37.07233051358524</v>
      </c>
      <c r="I61" s="23">
        <f>14-2</f>
        <v>12</v>
      </c>
      <c r="J61" s="8">
        <v>84.38854843692442</v>
      </c>
      <c r="K61" s="23">
        <f>15-40</f>
        <v>-25</v>
      </c>
      <c r="L61" s="8">
        <v>44.841592349652885</v>
      </c>
      <c r="M61" s="8">
        <v>38.184970699547996</v>
      </c>
      <c r="N61" s="8">
        <v>56.569141007207456</v>
      </c>
      <c r="O61" s="8">
        <v>4.221296696323929</v>
      </c>
      <c r="P61" s="23">
        <f t="shared" si="0"/>
        <v>33.96367400322407</v>
      </c>
      <c r="Q61" s="8">
        <v>1.0245915969206132</v>
      </c>
      <c r="R61" s="23">
        <f>29-31</f>
        <v>-2</v>
      </c>
      <c r="S61" s="8">
        <v>39.97983573380469</v>
      </c>
      <c r="T61" s="23">
        <f>30-37</f>
        <v>-7</v>
      </c>
      <c r="U61" s="8">
        <v>33.219661716694596</v>
      </c>
      <c r="V61" s="20">
        <v>-2.762</v>
      </c>
      <c r="W61" s="23">
        <f>21-31</f>
        <v>-10</v>
      </c>
      <c r="X61" s="8">
        <v>47.701997507537236</v>
      </c>
      <c r="Y61" s="23">
        <f>19-4</f>
        <v>15</v>
      </c>
      <c r="Z61" s="8">
        <v>77.60237432168167</v>
      </c>
      <c r="AA61" s="23">
        <f>19-33</f>
        <v>-14</v>
      </c>
      <c r="AB61" s="8">
        <v>48.437674951809626</v>
      </c>
      <c r="AC61" s="8">
        <v>54.512588884039914</v>
      </c>
      <c r="AD61" s="8">
        <v>42.627181715300146</v>
      </c>
      <c r="AE61" s="8">
        <v>2.6812178238854036</v>
      </c>
      <c r="AF61" s="23">
        <f t="shared" si="1"/>
        <v>51.83137106015451</v>
      </c>
      <c r="AG61" s="8">
        <v>0.17901157677453458</v>
      </c>
      <c r="AH61" s="23">
        <f>26-40</f>
        <v>-14</v>
      </c>
      <c r="AI61" s="8">
        <v>33.86021503169441</v>
      </c>
      <c r="AJ61" s="23">
        <f>15-48</f>
        <v>-33</v>
      </c>
      <c r="AK61" s="8">
        <v>37.360406211049074</v>
      </c>
      <c r="AL61" s="20">
        <v>-4.825</v>
      </c>
      <c r="AM61" s="23">
        <f>4-40</f>
        <v>-36</v>
      </c>
      <c r="AN61" s="8">
        <v>55.76309470822586</v>
      </c>
      <c r="AO61" s="23">
        <f>14-1</f>
        <v>13</v>
      </c>
      <c r="AP61" s="8">
        <v>85.14818534775253</v>
      </c>
      <c r="AQ61" s="23">
        <f>4-42</f>
        <v>-38</v>
      </c>
      <c r="AR61" s="8">
        <v>54.67031546275769</v>
      </c>
      <c r="AS61" s="8">
        <v>33.728743370992895</v>
      </c>
      <c r="AT61" s="8">
        <v>56.42865246912854</v>
      </c>
      <c r="AU61" s="8">
        <v>6.592410501727468</v>
      </c>
      <c r="AV61" s="23">
        <f t="shared" si="2"/>
        <v>27.136332869265427</v>
      </c>
      <c r="AW61" s="8">
        <v>3.2501936581510957</v>
      </c>
      <c r="AX61" s="23">
        <f>29-24</f>
        <v>5</v>
      </c>
      <c r="AY61" s="8">
        <v>46.42048036178838</v>
      </c>
      <c r="AZ61" s="23">
        <f>5-43</f>
        <v>-38</v>
      </c>
      <c r="BA61" s="8">
        <v>51.67594219100653</v>
      </c>
      <c r="BB61" s="20">
        <v>-4.385</v>
      </c>
      <c r="BC61" s="23">
        <f>31-29</f>
        <v>2</v>
      </c>
      <c r="BD61" s="8">
        <v>40.439880673481646</v>
      </c>
      <c r="BE61" s="23">
        <f>8-1</f>
        <v>7</v>
      </c>
      <c r="BF61" s="8">
        <v>91.11620700075663</v>
      </c>
      <c r="BG61" s="23">
        <f>31-29</f>
        <v>2</v>
      </c>
      <c r="BH61" s="8">
        <v>39.77394646319704</v>
      </c>
      <c r="BI61" s="8">
        <v>34.38562770664163</v>
      </c>
      <c r="BJ61" s="8">
        <v>62.6981475476741</v>
      </c>
      <c r="BK61" s="8">
        <v>2.465249221687008</v>
      </c>
      <c r="BL61" s="23">
        <f t="shared" si="3"/>
        <v>31.92037848495462</v>
      </c>
      <c r="BM61" s="8">
        <v>0.45097552399726676</v>
      </c>
      <c r="BN61" s="23">
        <f>37-33</f>
        <v>4</v>
      </c>
      <c r="BO61" s="8">
        <v>29.34222753045744</v>
      </c>
      <c r="BP61" s="23">
        <f>28-43</f>
        <v>-15</v>
      </c>
      <c r="BQ61" s="8">
        <v>28.891247815441147</v>
      </c>
      <c r="BR61" s="20">
        <v>-2.765</v>
      </c>
      <c r="BS61" s="23">
        <f>10-44</f>
        <v>-34</v>
      </c>
      <c r="BT61" s="8">
        <v>46.21400213315378</v>
      </c>
      <c r="BU61" s="23">
        <f>19-3</f>
        <v>16</v>
      </c>
      <c r="BV61" s="8">
        <v>78.23809276565706</v>
      </c>
      <c r="BW61" s="23">
        <f>10-49</f>
        <v>-39</v>
      </c>
      <c r="BX61" s="8">
        <v>41.230521395344645</v>
      </c>
      <c r="BY61" s="8">
        <v>26.398248795429918</v>
      </c>
      <c r="BZ61" s="8">
        <v>68.39848878766902</v>
      </c>
      <c r="CA61" s="8">
        <v>4.721706251594633</v>
      </c>
      <c r="CB61" s="23">
        <f t="shared" si="4"/>
        <v>21.676542543835286</v>
      </c>
      <c r="CC61" s="8">
        <v>0.48155616530642975</v>
      </c>
      <c r="CD61" s="23">
        <f>28-28</f>
        <v>0</v>
      </c>
      <c r="CE61" s="8">
        <v>43.69906538246585</v>
      </c>
      <c r="CF61" s="23">
        <f>18-36</f>
        <v>-18</v>
      </c>
      <c r="CG61" s="8">
        <v>45.2196012202579</v>
      </c>
      <c r="CH61" s="20">
        <v>-2.967</v>
      </c>
      <c r="CI61" s="23">
        <f>30-33</f>
        <v>-3</v>
      </c>
      <c r="CJ61" s="8">
        <v>37.4181923649564</v>
      </c>
      <c r="CK61" s="23">
        <f>8-0</f>
        <v>8</v>
      </c>
      <c r="CL61" s="8">
        <v>92.18578586291298</v>
      </c>
      <c r="CM61" s="23">
        <f>20-27</f>
        <v>-7</v>
      </c>
      <c r="CN61" s="8">
        <v>52.38675978510909</v>
      </c>
      <c r="CO61" s="8">
        <v>37.83013004597998</v>
      </c>
      <c r="CP61" s="8">
        <v>59.153433453932166</v>
      </c>
      <c r="CQ61" s="8">
        <v>1.8920613013823209</v>
      </c>
      <c r="CR61" s="23">
        <f t="shared" si="5"/>
        <v>35.93806874459766</v>
      </c>
      <c r="CS61" s="8">
        <v>1.1243751987055308</v>
      </c>
      <c r="CT61" s="23">
        <f>26-33</f>
        <v>-7</v>
      </c>
      <c r="CU61" s="8">
        <v>40.08273113132748</v>
      </c>
      <c r="CV61" s="23">
        <f>23-43</f>
        <v>-20</v>
      </c>
      <c r="CW61" s="8">
        <v>33.514648691358886</v>
      </c>
      <c r="CX61" s="20">
        <v>-4.045</v>
      </c>
      <c r="CY61" s="23">
        <f>7-44</f>
        <v>-37</v>
      </c>
      <c r="CZ61" s="8">
        <v>49.657761825150956</v>
      </c>
      <c r="DA61" s="23">
        <f>11-1</f>
        <v>10</v>
      </c>
      <c r="DB61" s="8">
        <v>88.31142626255186</v>
      </c>
      <c r="DC61" s="23">
        <f>11-42</f>
        <v>-31</v>
      </c>
      <c r="DD61" s="8">
        <v>46.08614468907308</v>
      </c>
      <c r="DE61" s="8">
        <v>37.922203984980655</v>
      </c>
      <c r="DF61" s="8">
        <v>57.72177734478651</v>
      </c>
      <c r="DG61" s="8">
        <v>3.3536642648061785</v>
      </c>
      <c r="DH61" s="23">
        <f t="shared" si="6"/>
        <v>34.56853972017448</v>
      </c>
      <c r="DI61" s="8">
        <v>1.002354405426654</v>
      </c>
      <c r="DJ61" s="23">
        <f>32-31</f>
        <v>1</v>
      </c>
      <c r="DK61" s="8">
        <v>36.94613678259138</v>
      </c>
      <c r="DL61" s="23">
        <f>22-41</f>
        <v>-19</v>
      </c>
      <c r="DM61" s="8">
        <v>36.50124550658531</v>
      </c>
      <c r="DN61" s="20">
        <v>-2.54</v>
      </c>
      <c r="DO61" s="23">
        <f>11-54</f>
        <v>-43</v>
      </c>
      <c r="DP61" s="8">
        <v>34.79565232207178</v>
      </c>
      <c r="DQ61" s="23">
        <f>15-1</f>
        <v>14</v>
      </c>
      <c r="DR61" s="8">
        <v>84.44473455268927</v>
      </c>
      <c r="DS61" s="23">
        <f>10-55</f>
        <v>-45</v>
      </c>
      <c r="DT61" s="8">
        <v>35.28686183178718</v>
      </c>
      <c r="DU61" s="8">
        <v>32.52711165115843</v>
      </c>
      <c r="DV61" s="8">
        <v>65.33700460622367</v>
      </c>
      <c r="DW61" s="8">
        <v>2.135883742617908</v>
      </c>
      <c r="DX61" s="23">
        <f t="shared" si="7"/>
        <v>30.39122790854052</v>
      </c>
      <c r="DY61" s="8">
        <v>0</v>
      </c>
      <c r="DZ61" s="23">
        <f>30-39</f>
        <v>-9</v>
      </c>
      <c r="EA61" s="8">
        <v>31.586918113459493</v>
      </c>
      <c r="EB61" s="23">
        <f>20-38</f>
        <v>-18</v>
      </c>
      <c r="EC61" s="8">
        <v>41.98547495323775</v>
      </c>
      <c r="ED61" s="20">
        <v>-3.446</v>
      </c>
      <c r="EE61" s="23">
        <f>10-52</f>
        <v>-42</v>
      </c>
      <c r="EF61" s="8">
        <v>37.982383851705706</v>
      </c>
      <c r="EG61" s="23">
        <f>18-4</f>
        <v>14</v>
      </c>
      <c r="EH61" s="8">
        <v>78.03868749953556</v>
      </c>
      <c r="EI61" s="23">
        <f>13-49</f>
        <v>-36</v>
      </c>
      <c r="EJ61" s="8">
        <v>38.54747269466122</v>
      </c>
      <c r="EK61" s="8">
        <v>29.036373191940747</v>
      </c>
      <c r="EL61" s="8">
        <v>63.64723663373726</v>
      </c>
      <c r="EM61" s="8">
        <v>5.215093622389229</v>
      </c>
      <c r="EN61" s="23">
        <f t="shared" si="8"/>
        <v>23.821279569551518</v>
      </c>
      <c r="EO61" s="8">
        <v>2.10129655193277</v>
      </c>
      <c r="EP61" s="23">
        <f>31-33</f>
        <v>-2</v>
      </c>
      <c r="EQ61" s="8">
        <v>35.76507351062288</v>
      </c>
      <c r="ER61" s="23">
        <f>19-42</f>
        <v>-23</v>
      </c>
      <c r="ES61" s="8">
        <v>38.35998667515285</v>
      </c>
      <c r="ET61" s="20">
        <v>-3.464</v>
      </c>
      <c r="EU61" s="23">
        <f>17-41</f>
        <v>-24</v>
      </c>
      <c r="EV61" s="8">
        <v>41.824508160114284</v>
      </c>
      <c r="EW61" s="23">
        <f>14-2</f>
        <v>12</v>
      </c>
      <c r="EX61" s="8">
        <v>84.624423827057</v>
      </c>
      <c r="EY61" s="23">
        <f>15-41</f>
        <v>-26</v>
      </c>
      <c r="EZ61" s="8">
        <v>44.00233887830571</v>
      </c>
      <c r="FA61" s="8">
        <v>36.124679551383664</v>
      </c>
      <c r="FB61" s="8">
        <v>59.143327917565244</v>
      </c>
      <c r="FC61" s="8">
        <v>3.730687351764841</v>
      </c>
      <c r="FD61" s="23">
        <f t="shared" si="9"/>
        <v>32.39399219961882</v>
      </c>
      <c r="FE61" s="8">
        <v>1.001305179286245</v>
      </c>
      <c r="FF61" s="23">
        <f>20-38</f>
        <v>-18</v>
      </c>
      <c r="FG61" s="8">
        <v>42.43056534180756</v>
      </c>
      <c r="FH61" s="23">
        <f>14-45</f>
        <v>-31</v>
      </c>
      <c r="FI61" s="8">
        <v>40.234036937363015</v>
      </c>
      <c r="FJ61" s="20">
        <v>-4.104</v>
      </c>
      <c r="FK61" s="23">
        <f>12-39</f>
        <v>-27</v>
      </c>
      <c r="FL61" s="8">
        <v>49.4467044848432</v>
      </c>
      <c r="FM61" s="23">
        <f>16-3</f>
        <v>13</v>
      </c>
      <c r="FN61" s="8">
        <v>81.09724034715668</v>
      </c>
      <c r="FO61" s="23">
        <f>10-39</f>
        <v>-29</v>
      </c>
      <c r="FP61" s="8">
        <v>50.7565557388153</v>
      </c>
      <c r="FQ61" s="8">
        <v>31.867585355028165</v>
      </c>
      <c r="FR61" s="8">
        <v>59.94116736284278</v>
      </c>
      <c r="FS61" s="8">
        <v>5.428249427709388</v>
      </c>
      <c r="FT61" s="112">
        <f>FQ61-FS61</f>
        <v>26.439335927318776</v>
      </c>
      <c r="FU61" s="23">
        <v>2.7629978544196594</v>
      </c>
    </row>
    <row r="62" spans="1:177" ht="12">
      <c r="A62" s="1" t="s">
        <v>9</v>
      </c>
      <c r="B62" s="24">
        <f aca="true" t="shared" si="99" ref="B62:O62">AVERAGE(B58:B61)</f>
        <v>-9.5</v>
      </c>
      <c r="C62" s="13">
        <f t="shared" si="99"/>
        <v>46.230319102143454</v>
      </c>
      <c r="D62" s="24">
        <f t="shared" si="99"/>
        <v>-9.75</v>
      </c>
      <c r="E62" s="13">
        <f t="shared" si="99"/>
        <v>43.95864770986729</v>
      </c>
      <c r="F62" s="21">
        <f t="shared" si="99"/>
        <v>-1.6934999999999998</v>
      </c>
      <c r="G62" s="24">
        <f t="shared" si="99"/>
        <v>13.75</v>
      </c>
      <c r="H62" s="13">
        <f t="shared" si="99"/>
        <v>45.94002714969491</v>
      </c>
      <c r="I62" s="24">
        <f t="shared" si="99"/>
        <v>5.5</v>
      </c>
      <c r="J62" s="13">
        <f t="shared" si="99"/>
        <v>89.81482395559485</v>
      </c>
      <c r="K62" s="24">
        <f t="shared" si="99"/>
        <v>10.25</v>
      </c>
      <c r="L62" s="13">
        <f t="shared" si="99"/>
        <v>52.11427229400134</v>
      </c>
      <c r="M62" s="13">
        <f t="shared" si="99"/>
        <v>44.52399889253042</v>
      </c>
      <c r="N62" s="13">
        <f t="shared" si="99"/>
        <v>52.962020566603684</v>
      </c>
      <c r="O62" s="13">
        <f t="shared" si="99"/>
        <v>1.945417237600455</v>
      </c>
      <c r="P62" s="24">
        <f t="shared" si="0"/>
        <v>42.57858165492997</v>
      </c>
      <c r="Q62" s="13">
        <f aca="true" t="shared" si="100" ref="Q62:AE62">AVERAGE(Q58:Q61)</f>
        <v>0.5685633032654347</v>
      </c>
      <c r="R62" s="24">
        <f t="shared" si="100"/>
        <v>-4.75</v>
      </c>
      <c r="S62" s="13">
        <f t="shared" si="100"/>
        <v>46.558313538452964</v>
      </c>
      <c r="T62" s="24">
        <f t="shared" si="100"/>
        <v>1.5</v>
      </c>
      <c r="U62" s="13">
        <f t="shared" si="100"/>
        <v>42.0387548043132</v>
      </c>
      <c r="V62" s="21">
        <f t="shared" si="100"/>
        <v>-1.563</v>
      </c>
      <c r="W62" s="24">
        <f t="shared" si="100"/>
        <v>10.75</v>
      </c>
      <c r="X62" s="13">
        <f t="shared" si="100"/>
        <v>58.46759034856811</v>
      </c>
      <c r="Y62" s="24">
        <f t="shared" si="100"/>
        <v>8.25</v>
      </c>
      <c r="Z62" s="13">
        <f t="shared" si="100"/>
        <v>84.22465088170078</v>
      </c>
      <c r="AA62" s="24">
        <f t="shared" si="100"/>
        <v>5</v>
      </c>
      <c r="AB62" s="13">
        <f t="shared" si="100"/>
        <v>62.410477930468176</v>
      </c>
      <c r="AC62" s="13">
        <f t="shared" si="100"/>
        <v>41.57131051624687</v>
      </c>
      <c r="AD62" s="13">
        <f t="shared" si="100"/>
        <v>55.67899567911958</v>
      </c>
      <c r="AE62" s="13">
        <f t="shared" si="100"/>
        <v>2.403993442374749</v>
      </c>
      <c r="AF62" s="24">
        <f t="shared" si="1"/>
        <v>39.16731707387212</v>
      </c>
      <c r="AG62" s="13">
        <f aca="true" t="shared" si="101" ref="AG62:AU62">AVERAGE(AG58:AG61)</f>
        <v>0.34570036225880124</v>
      </c>
      <c r="AH62" s="24">
        <f t="shared" si="101"/>
        <v>-17</v>
      </c>
      <c r="AI62" s="13">
        <f t="shared" si="101"/>
        <v>40.42339495886763</v>
      </c>
      <c r="AJ62" s="24">
        <f t="shared" si="101"/>
        <v>-7.75</v>
      </c>
      <c r="AK62" s="13">
        <f t="shared" si="101"/>
        <v>45.2935324348361</v>
      </c>
      <c r="AL62" s="21">
        <f t="shared" si="101"/>
        <v>-1.9565000000000001</v>
      </c>
      <c r="AM62" s="24">
        <f t="shared" si="101"/>
        <v>9.75</v>
      </c>
      <c r="AN62" s="13">
        <f t="shared" si="101"/>
        <v>48.87919862957404</v>
      </c>
      <c r="AO62" s="24">
        <f t="shared" si="101"/>
        <v>6.5</v>
      </c>
      <c r="AP62" s="13">
        <f t="shared" si="101"/>
        <v>88.91390024845641</v>
      </c>
      <c r="AQ62" s="24">
        <f t="shared" si="101"/>
        <v>6</v>
      </c>
      <c r="AR62" s="13">
        <f t="shared" si="101"/>
        <v>52.67317185798347</v>
      </c>
      <c r="AS62" s="13">
        <f t="shared" si="101"/>
        <v>27.805553395895288</v>
      </c>
      <c r="AT62" s="13">
        <f t="shared" si="101"/>
        <v>68.56863494217725</v>
      </c>
      <c r="AU62" s="13">
        <f t="shared" si="101"/>
        <v>2.430131876466182</v>
      </c>
      <c r="AV62" s="24">
        <f t="shared" si="2"/>
        <v>25.375421519429107</v>
      </c>
      <c r="AW62" s="13">
        <f aca="true" t="shared" si="102" ref="AW62:BK62">AVERAGE(AW58:AW61)</f>
        <v>1.195679785461274</v>
      </c>
      <c r="AX62" s="24">
        <f t="shared" si="102"/>
        <v>5</v>
      </c>
      <c r="AY62" s="13">
        <f t="shared" si="102"/>
        <v>50.52963056339629</v>
      </c>
      <c r="AZ62" s="24">
        <f t="shared" si="102"/>
        <v>-10.5</v>
      </c>
      <c r="BA62" s="13">
        <f t="shared" si="102"/>
        <v>54.55748260773158</v>
      </c>
      <c r="BB62" s="21">
        <f t="shared" si="102"/>
        <v>-1.5374999999999999</v>
      </c>
      <c r="BC62" s="24">
        <f t="shared" si="102"/>
        <v>14</v>
      </c>
      <c r="BD62" s="13">
        <f t="shared" si="102"/>
        <v>57.27618920615353</v>
      </c>
      <c r="BE62" s="24">
        <f t="shared" si="102"/>
        <v>3.5</v>
      </c>
      <c r="BF62" s="13">
        <f t="shared" si="102"/>
        <v>92.93245137583288</v>
      </c>
      <c r="BG62" s="24">
        <f t="shared" si="102"/>
        <v>11.25</v>
      </c>
      <c r="BH62" s="13">
        <f t="shared" si="102"/>
        <v>60.73518104672922</v>
      </c>
      <c r="BI62" s="13">
        <f t="shared" si="102"/>
        <v>33.34638302877548</v>
      </c>
      <c r="BJ62" s="13">
        <f t="shared" si="102"/>
        <v>64.06244651213356</v>
      </c>
      <c r="BK62" s="13">
        <f t="shared" si="102"/>
        <v>1.7792414272705304</v>
      </c>
      <c r="BL62" s="24">
        <f t="shared" si="3"/>
        <v>31.567141601504947</v>
      </c>
      <c r="BM62" s="13">
        <f aca="true" t="shared" si="103" ref="BM62:CA62">AVERAGE(BM58:BM61)</f>
        <v>0.8119290318204404</v>
      </c>
      <c r="BN62" s="24">
        <f t="shared" si="103"/>
        <v>-4.75</v>
      </c>
      <c r="BO62" s="13">
        <f t="shared" si="103"/>
        <v>44.24145945608038</v>
      </c>
      <c r="BP62" s="24">
        <f t="shared" si="103"/>
        <v>-5.25</v>
      </c>
      <c r="BQ62" s="13">
        <f t="shared" si="103"/>
        <v>41.48129368141367</v>
      </c>
      <c r="BR62" s="21">
        <f t="shared" si="103"/>
        <v>-1.6592500000000001</v>
      </c>
      <c r="BS62" s="24">
        <f t="shared" si="103"/>
        <v>5.5</v>
      </c>
      <c r="BT62" s="13">
        <f t="shared" si="103"/>
        <v>49.55204925312177</v>
      </c>
      <c r="BU62" s="24">
        <f t="shared" si="103"/>
        <v>7.75</v>
      </c>
      <c r="BV62" s="13">
        <f t="shared" si="103"/>
        <v>87.76262217454706</v>
      </c>
      <c r="BW62" s="24">
        <f t="shared" si="103"/>
        <v>3.25</v>
      </c>
      <c r="BX62" s="13">
        <f t="shared" si="103"/>
        <v>49.58982188732925</v>
      </c>
      <c r="BY62" s="13">
        <f t="shared" si="103"/>
        <v>25.07575091519138</v>
      </c>
      <c r="BZ62" s="13">
        <f t="shared" si="103"/>
        <v>72.31960221528651</v>
      </c>
      <c r="CA62" s="13">
        <f t="shared" si="103"/>
        <v>2.0276908154174667</v>
      </c>
      <c r="CB62" s="24">
        <f t="shared" si="4"/>
        <v>23.048060099773913</v>
      </c>
      <c r="CC62" s="13">
        <f aca="true" t="shared" si="104" ref="CC62:CQ62">AVERAGE(CC58:CC61)</f>
        <v>0.5769560541046435</v>
      </c>
      <c r="CD62" s="24">
        <f t="shared" si="104"/>
        <v>-4.25</v>
      </c>
      <c r="CE62" s="13">
        <f t="shared" si="104"/>
        <v>50.349607030224696</v>
      </c>
      <c r="CF62" s="24">
        <f t="shared" si="104"/>
        <v>-1.75</v>
      </c>
      <c r="CG62" s="13">
        <f t="shared" si="104"/>
        <v>52.37899837038697</v>
      </c>
      <c r="CH62" s="21">
        <f t="shared" si="104"/>
        <v>-1.258</v>
      </c>
      <c r="CI62" s="24">
        <f t="shared" si="104"/>
        <v>20.5</v>
      </c>
      <c r="CJ62" s="13">
        <f t="shared" si="104"/>
        <v>49.67084240875681</v>
      </c>
      <c r="CK62" s="24">
        <f t="shared" si="104"/>
        <v>7.75</v>
      </c>
      <c r="CL62" s="13">
        <f t="shared" si="104"/>
        <v>88.61034549908948</v>
      </c>
      <c r="CM62" s="24">
        <f t="shared" si="104"/>
        <v>13.75</v>
      </c>
      <c r="CN62" s="13">
        <f t="shared" si="104"/>
        <v>54.85914347797839</v>
      </c>
      <c r="CO62" s="13">
        <f t="shared" si="104"/>
        <v>31.753633400827383</v>
      </c>
      <c r="CP62" s="13">
        <f t="shared" si="104"/>
        <v>66.57000514509306</v>
      </c>
      <c r="CQ62" s="13">
        <f t="shared" si="104"/>
        <v>1.2754458285257697</v>
      </c>
      <c r="CR62" s="24">
        <f t="shared" si="5"/>
        <v>30.478187572301614</v>
      </c>
      <c r="CS62" s="13">
        <f aca="true" t="shared" si="105" ref="CS62:DG62">AVERAGE(CS58:CS61)</f>
        <v>0.40091562555378535</v>
      </c>
      <c r="CT62" s="24">
        <f t="shared" si="105"/>
        <v>7.25</v>
      </c>
      <c r="CU62" s="13">
        <f t="shared" si="105"/>
        <v>44.70028104069292</v>
      </c>
      <c r="CV62" s="24">
        <f t="shared" si="105"/>
        <v>7</v>
      </c>
      <c r="CW62" s="13">
        <f t="shared" si="105"/>
        <v>43.85609838715557</v>
      </c>
      <c r="CX62" s="21">
        <f t="shared" si="105"/>
        <v>-0.89375</v>
      </c>
      <c r="CY62" s="24">
        <f t="shared" si="105"/>
        <v>11.25</v>
      </c>
      <c r="CZ62" s="13">
        <f t="shared" si="105"/>
        <v>47.813736185765535</v>
      </c>
      <c r="DA62" s="24">
        <f t="shared" si="105"/>
        <v>3.75</v>
      </c>
      <c r="DB62" s="13">
        <f t="shared" si="105"/>
        <v>90.12629545805856</v>
      </c>
      <c r="DC62" s="24">
        <f t="shared" si="105"/>
        <v>7.75</v>
      </c>
      <c r="DD62" s="13">
        <f t="shared" si="105"/>
        <v>51.72821410909763</v>
      </c>
      <c r="DE62" s="13">
        <f t="shared" si="105"/>
        <v>42.32794552294083</v>
      </c>
      <c r="DF62" s="13">
        <f t="shared" si="105"/>
        <v>55.427809150048404</v>
      </c>
      <c r="DG62" s="13">
        <f t="shared" si="105"/>
        <v>1.993656725654093</v>
      </c>
      <c r="DH62" s="24">
        <f t="shared" si="6"/>
        <v>40.33428879728674</v>
      </c>
      <c r="DI62" s="13">
        <f aca="true" t="shared" si="106" ref="DI62:DW62">AVERAGE(DI58:DI61)</f>
        <v>0.2505886013566635</v>
      </c>
      <c r="DJ62" s="24">
        <f t="shared" si="106"/>
        <v>-7.5</v>
      </c>
      <c r="DK62" s="13">
        <f t="shared" si="106"/>
        <v>46.91738264483368</v>
      </c>
      <c r="DL62" s="24">
        <f t="shared" si="106"/>
        <v>-4</v>
      </c>
      <c r="DM62" s="13">
        <f t="shared" si="106"/>
        <v>44.70473268079078</v>
      </c>
      <c r="DN62" s="21">
        <f t="shared" si="106"/>
        <v>-1.97075</v>
      </c>
      <c r="DO62" s="24">
        <f t="shared" si="106"/>
        <v>2.75</v>
      </c>
      <c r="DP62" s="13">
        <f t="shared" si="106"/>
        <v>52.09182843462938</v>
      </c>
      <c r="DQ62" s="24">
        <f t="shared" si="106"/>
        <v>10.25</v>
      </c>
      <c r="DR62" s="13">
        <f t="shared" si="106"/>
        <v>86.40154881995053</v>
      </c>
      <c r="DS62" s="24">
        <f t="shared" si="106"/>
        <v>-3.5</v>
      </c>
      <c r="DT62" s="13">
        <f t="shared" si="106"/>
        <v>55.096775924541234</v>
      </c>
      <c r="DU62" s="13">
        <f t="shared" si="106"/>
        <v>21.482839065031314</v>
      </c>
      <c r="DV62" s="13">
        <f t="shared" si="106"/>
        <v>75.5274727903145</v>
      </c>
      <c r="DW62" s="13">
        <f t="shared" si="106"/>
        <v>2.64017766132101</v>
      </c>
      <c r="DX62" s="24">
        <f t="shared" si="7"/>
        <v>18.842661403710302</v>
      </c>
      <c r="DY62" s="13">
        <f aca="true" t="shared" si="107" ref="DY62:EM62">AVERAGE(DY58:DY61)</f>
        <v>0.34951048333317614</v>
      </c>
      <c r="DZ62" s="24">
        <f t="shared" si="107"/>
        <v>-11.25</v>
      </c>
      <c r="EA62" s="13">
        <f t="shared" si="107"/>
        <v>49.47727422740748</v>
      </c>
      <c r="EB62" s="24">
        <f t="shared" si="107"/>
        <v>-9.5</v>
      </c>
      <c r="EC62" s="13">
        <f t="shared" si="107"/>
        <v>54.81871631608619</v>
      </c>
      <c r="ED62" s="21">
        <f t="shared" si="107"/>
        <v>-1.9172500000000001</v>
      </c>
      <c r="EE62" s="24">
        <f t="shared" si="107"/>
        <v>4.25</v>
      </c>
      <c r="EF62" s="13">
        <f t="shared" si="107"/>
        <v>50.998911719433394</v>
      </c>
      <c r="EG62" s="24">
        <f t="shared" si="107"/>
        <v>7</v>
      </c>
      <c r="EH62" s="13">
        <f t="shared" si="107"/>
        <v>87.47922405255373</v>
      </c>
      <c r="EI62" s="24">
        <f t="shared" si="107"/>
        <v>0.75</v>
      </c>
      <c r="EJ62" s="13">
        <f t="shared" si="107"/>
        <v>54.85515455764555</v>
      </c>
      <c r="EK62" s="13">
        <f t="shared" si="107"/>
        <v>25.710196648875417</v>
      </c>
      <c r="EL62" s="13">
        <f t="shared" si="107"/>
        <v>71.0242610012127</v>
      </c>
      <c r="EM62" s="13">
        <f t="shared" si="107"/>
        <v>2.651152363370546</v>
      </c>
      <c r="EN62" s="24">
        <f t="shared" si="8"/>
        <v>23.05904428550487</v>
      </c>
      <c r="EO62" s="13">
        <f aca="true" t="shared" si="108" ref="EO62:FC62">AVERAGE(EO58:EO61)</f>
        <v>0.6143899865413462</v>
      </c>
      <c r="EP62" s="24">
        <f t="shared" si="108"/>
        <v>-5.5</v>
      </c>
      <c r="EQ62" s="13">
        <f t="shared" si="108"/>
        <v>46.68208601455488</v>
      </c>
      <c r="ER62" s="24">
        <f t="shared" si="108"/>
        <v>-5.75</v>
      </c>
      <c r="ES62" s="13">
        <f t="shared" si="108"/>
        <v>46.73481497348183</v>
      </c>
      <c r="ET62" s="21">
        <f t="shared" si="108"/>
        <v>-1.6237499999999998</v>
      </c>
      <c r="EU62" s="24">
        <f t="shared" si="108"/>
        <v>11</v>
      </c>
      <c r="EV62" s="13">
        <f t="shared" si="108"/>
        <v>50.6082990219242</v>
      </c>
      <c r="EW62" s="24">
        <f t="shared" si="108"/>
        <v>6.5</v>
      </c>
      <c r="EX62" s="13">
        <f t="shared" si="108"/>
        <v>88.94698763672217</v>
      </c>
      <c r="EY62" s="24">
        <f t="shared" si="108"/>
        <v>6.5</v>
      </c>
      <c r="EZ62" s="13">
        <f t="shared" si="108"/>
        <v>54.66643295889851</v>
      </c>
      <c r="FA62" s="13">
        <f t="shared" si="108"/>
        <v>34.57134919287586</v>
      </c>
      <c r="FB62" s="13">
        <f t="shared" si="108"/>
        <v>62.75247925815895</v>
      </c>
      <c r="FC62" s="13">
        <f t="shared" si="108"/>
        <v>2.0972890475124712</v>
      </c>
      <c r="FD62" s="24">
        <f t="shared" si="9"/>
        <v>32.47406014536339</v>
      </c>
      <c r="FE62" s="13">
        <f aca="true" t="shared" si="109" ref="FE62:FU62">AVERAGE(FE58:FE61)</f>
        <v>0.578882501452723</v>
      </c>
      <c r="FF62" s="24">
        <f t="shared" si="109"/>
        <v>-20.75</v>
      </c>
      <c r="FG62" s="13">
        <f t="shared" si="109"/>
        <v>47.90985187665116</v>
      </c>
      <c r="FH62" s="24">
        <f t="shared" si="109"/>
        <v>-21.25</v>
      </c>
      <c r="FI62" s="13">
        <f t="shared" si="109"/>
        <v>49.05574179391333</v>
      </c>
      <c r="FJ62" s="21">
        <f t="shared" si="109"/>
        <v>-2.65225</v>
      </c>
      <c r="FK62" s="24">
        <f t="shared" si="109"/>
        <v>5.5</v>
      </c>
      <c r="FL62" s="13">
        <f t="shared" si="109"/>
        <v>52.18107995747925</v>
      </c>
      <c r="FM62" s="24">
        <f t="shared" si="109"/>
        <v>8.5</v>
      </c>
      <c r="FN62" s="13">
        <f t="shared" si="109"/>
        <v>84.40923056396448</v>
      </c>
      <c r="FO62" s="24">
        <f t="shared" si="109"/>
        <v>-1</v>
      </c>
      <c r="FP62" s="13">
        <f t="shared" si="109"/>
        <v>56.04653046585734</v>
      </c>
      <c r="FQ62" s="13">
        <f t="shared" si="109"/>
        <v>27.97973379433343</v>
      </c>
      <c r="FR62" s="13">
        <f t="shared" si="109"/>
        <v>67.22123019881452</v>
      </c>
      <c r="FS62" s="13">
        <f t="shared" si="109"/>
        <v>3.2124375132604506</v>
      </c>
      <c r="FT62" s="13">
        <f t="shared" si="109"/>
        <v>24.76729628107298</v>
      </c>
      <c r="FU62" s="13">
        <f t="shared" si="109"/>
        <v>1.5865984935916044</v>
      </c>
    </row>
    <row r="63" spans="1:177" ht="12">
      <c r="A63" s="1" t="s">
        <v>194</v>
      </c>
      <c r="B63" s="23">
        <f>6-63</f>
        <v>-57</v>
      </c>
      <c r="C63" s="8">
        <v>30.82677977084622</v>
      </c>
      <c r="D63" s="23">
        <f>21-33</f>
        <v>-12</v>
      </c>
      <c r="E63" s="8">
        <v>45.56566816883155</v>
      </c>
      <c r="F63" s="20">
        <v>-2.169</v>
      </c>
      <c r="G63" s="23">
        <f>27-17</f>
        <v>10</v>
      </c>
      <c r="H63" s="8">
        <v>55.42988424494124</v>
      </c>
      <c r="I63" s="23">
        <f>10-1</f>
        <v>9</v>
      </c>
      <c r="J63" s="8">
        <v>89.09310476863716</v>
      </c>
      <c r="K63" s="23">
        <f>24-17</f>
        <v>7</v>
      </c>
      <c r="L63" s="8">
        <v>59.25009572619363</v>
      </c>
      <c r="M63" s="8">
        <v>36.163883243497985</v>
      </c>
      <c r="N63" s="8">
        <v>61.87446614238167</v>
      </c>
      <c r="O63" s="8">
        <v>1.9616506141203498</v>
      </c>
      <c r="P63" s="23">
        <f t="shared" si="0"/>
        <v>34.20223262937763</v>
      </c>
      <c r="Q63" s="8">
        <v>0</v>
      </c>
      <c r="R63" s="23">
        <f>4-67</f>
        <v>-63</v>
      </c>
      <c r="S63" s="8">
        <v>29.033045743122255</v>
      </c>
      <c r="T63" s="23">
        <f>20-44</f>
        <v>-24</v>
      </c>
      <c r="U63" s="8">
        <v>35.984046882630636</v>
      </c>
      <c r="V63" s="20">
        <v>-5.237</v>
      </c>
      <c r="W63" s="23">
        <f>20-18</f>
        <v>2</v>
      </c>
      <c r="X63" s="8">
        <v>61.76135438710728</v>
      </c>
      <c r="Y63" s="23">
        <f>11-5</f>
        <v>6</v>
      </c>
      <c r="Z63" s="8">
        <v>84.35617776330783</v>
      </c>
      <c r="AA63" s="23">
        <f>13-21</f>
        <v>-8</v>
      </c>
      <c r="AB63" s="8">
        <v>65.6031255087091</v>
      </c>
      <c r="AC63" s="8">
        <v>19.575126159856747</v>
      </c>
      <c r="AD63" s="8">
        <v>73.86456128927234</v>
      </c>
      <c r="AE63" s="8">
        <v>6.56031255087091</v>
      </c>
      <c r="AF63" s="23">
        <f t="shared" si="1"/>
        <v>13.014813608985836</v>
      </c>
      <c r="AG63" s="8">
        <v>0</v>
      </c>
      <c r="AH63" s="23">
        <f>4-56</f>
        <v>-52</v>
      </c>
      <c r="AI63" s="8">
        <v>39.39987937273824</v>
      </c>
      <c r="AJ63" s="23">
        <f>8-44</f>
        <v>-36</v>
      </c>
      <c r="AK63" s="8">
        <v>47.331121833534375</v>
      </c>
      <c r="AL63" s="20">
        <v>-6.88</v>
      </c>
      <c r="AM63" s="23">
        <f>22-23</f>
        <v>-1</v>
      </c>
      <c r="AN63" s="8">
        <v>55.49607961399276</v>
      </c>
      <c r="AO63" s="23">
        <f>13-4</f>
        <v>9</v>
      </c>
      <c r="AP63" s="8">
        <v>82.78799758745477</v>
      </c>
      <c r="AQ63" s="23">
        <f>17-25</f>
        <v>-8</v>
      </c>
      <c r="AR63" s="8">
        <v>57.47889022919179</v>
      </c>
      <c r="AS63" s="8">
        <v>17.724668275030155</v>
      </c>
      <c r="AT63" s="8">
        <v>77.76688781664656</v>
      </c>
      <c r="AU63" s="8">
        <v>3.23431845597105</v>
      </c>
      <c r="AV63" s="23">
        <f t="shared" si="2"/>
        <v>14.490349819059105</v>
      </c>
      <c r="AW63" s="8">
        <v>1.2741254523522316</v>
      </c>
      <c r="AX63" s="23">
        <f>3-54</f>
        <v>-51</v>
      </c>
      <c r="AY63" s="8">
        <v>42.31675211306637</v>
      </c>
      <c r="AZ63" s="23">
        <f>19-28</f>
        <v>-9</v>
      </c>
      <c r="BA63" s="8">
        <v>53.22156020507136</v>
      </c>
      <c r="BB63" s="20">
        <v>-3.468</v>
      </c>
      <c r="BC63" s="23">
        <f>13-16</f>
        <v>-3</v>
      </c>
      <c r="BD63" s="8">
        <v>71.0544547595954</v>
      </c>
      <c r="BE63" s="23">
        <f>6-1</f>
        <v>5</v>
      </c>
      <c r="BF63" s="8">
        <v>93.42293658491525</v>
      </c>
      <c r="BG63" s="23">
        <f>8-14</f>
        <v>-6</v>
      </c>
      <c r="BH63" s="8">
        <v>78.37051406401552</v>
      </c>
      <c r="BI63" s="8">
        <v>19.15846843101935</v>
      </c>
      <c r="BJ63" s="8">
        <v>78.43979492864071</v>
      </c>
      <c r="BK63" s="8">
        <v>1.7689714100965315</v>
      </c>
      <c r="BL63" s="23">
        <f t="shared" si="3"/>
        <v>17.389497020922818</v>
      </c>
      <c r="BM63" s="8">
        <v>0.6327652302434068</v>
      </c>
      <c r="BN63" s="23">
        <f>4-51</f>
        <v>-47</v>
      </c>
      <c r="BO63" s="8">
        <v>44.831932773109244</v>
      </c>
      <c r="BP63" s="23">
        <f>16-40</f>
        <v>-24</v>
      </c>
      <c r="BQ63" s="8">
        <v>44.01260504201681</v>
      </c>
      <c r="BR63" s="20">
        <v>-4.336</v>
      </c>
      <c r="BS63" s="23">
        <f>15-24</f>
        <v>-9</v>
      </c>
      <c r="BT63" s="8">
        <v>61.253501400560225</v>
      </c>
      <c r="BU63" s="23">
        <f>13-2</f>
        <v>11</v>
      </c>
      <c r="BV63" s="8">
        <v>85.05602240896359</v>
      </c>
      <c r="BW63" s="23">
        <f>10-26</f>
        <v>-16</v>
      </c>
      <c r="BX63" s="8">
        <v>63.851540616246496</v>
      </c>
      <c r="BY63" s="8">
        <v>22.535014005602243</v>
      </c>
      <c r="BZ63" s="8">
        <v>68.66946778711484</v>
      </c>
      <c r="CA63" s="8">
        <v>8.354341736694677</v>
      </c>
      <c r="CB63" s="23">
        <f t="shared" si="4"/>
        <v>14.180672268907566</v>
      </c>
      <c r="CC63" s="8">
        <v>0.4411764705882353</v>
      </c>
      <c r="CD63" s="23">
        <f>3-61</f>
        <v>-58</v>
      </c>
      <c r="CE63" s="8">
        <v>35.93863377215715</v>
      </c>
      <c r="CF63" s="23">
        <f>15-32</f>
        <v>-17</v>
      </c>
      <c r="CG63" s="8">
        <v>53.01129884938322</v>
      </c>
      <c r="CH63" s="20">
        <v>-2.804</v>
      </c>
      <c r="CI63" s="23">
        <f>15-12</f>
        <v>3</v>
      </c>
      <c r="CJ63" s="8">
        <v>72.7687363947341</v>
      </c>
      <c r="CK63" s="23">
        <f>6-1</f>
        <v>5</v>
      </c>
      <c r="CL63" s="8">
        <v>93.75971804706126</v>
      </c>
      <c r="CM63" s="23">
        <f>12-12</f>
        <v>0</v>
      </c>
      <c r="CN63" s="8">
        <v>76.61449155177775</v>
      </c>
      <c r="CO63" s="8">
        <v>19.788535295946925</v>
      </c>
      <c r="CP63" s="8">
        <v>78.91572509588472</v>
      </c>
      <c r="CQ63" s="8">
        <v>1.0262257696693273</v>
      </c>
      <c r="CR63" s="23">
        <f t="shared" si="5"/>
        <v>18.762309526277598</v>
      </c>
      <c r="CS63" s="8">
        <v>0.2695138384990152</v>
      </c>
      <c r="CT63" s="23">
        <f>12-57</f>
        <v>-45</v>
      </c>
      <c r="CU63" s="8">
        <v>31.728065748684305</v>
      </c>
      <c r="CV63" s="23">
        <f>22-43</f>
        <v>-21</v>
      </c>
      <c r="CW63" s="8">
        <v>34.87131425275755</v>
      </c>
      <c r="CX63" s="20">
        <v>-4.445</v>
      </c>
      <c r="CY63" s="23">
        <f>29-12</f>
        <v>17</v>
      </c>
      <c r="CZ63" s="8">
        <v>58.37358517770889</v>
      </c>
      <c r="DA63" s="23">
        <f>13-3</f>
        <v>10</v>
      </c>
      <c r="DB63" s="8">
        <v>84.07468819839954</v>
      </c>
      <c r="DC63" s="23">
        <f>26-13</f>
        <v>13</v>
      </c>
      <c r="DD63" s="8">
        <v>61.473577968423335</v>
      </c>
      <c r="DE63" s="8">
        <v>23.74017734842477</v>
      </c>
      <c r="DF63" s="8">
        <v>73.80145627568308</v>
      </c>
      <c r="DG63" s="8">
        <v>1.6581356787542356</v>
      </c>
      <c r="DH63" s="23">
        <f t="shared" si="6"/>
        <v>22.082041669670534</v>
      </c>
      <c r="DI63" s="8">
        <v>0.8002306971379136</v>
      </c>
      <c r="DJ63" s="23">
        <f>3-61</f>
        <v>-58</v>
      </c>
      <c r="DK63" s="8">
        <v>36.160744386757464</v>
      </c>
      <c r="DL63" s="23">
        <f>1-52</f>
        <v>-51</v>
      </c>
      <c r="DM63" s="8">
        <v>37.24630840806419</v>
      </c>
      <c r="DN63" s="20">
        <v>-6.54</v>
      </c>
      <c r="DO63" s="23">
        <f>12-32</f>
        <v>-20</v>
      </c>
      <c r="DP63" s="8">
        <v>55.62672779987863</v>
      </c>
      <c r="DQ63" s="23">
        <f>23-5</f>
        <v>18</v>
      </c>
      <c r="DR63" s="8">
        <v>72.37542984289664</v>
      </c>
      <c r="DS63" s="23">
        <f>7-37</f>
        <v>-30</v>
      </c>
      <c r="DT63" s="8">
        <v>56.76623289056706</v>
      </c>
      <c r="DU63" s="8">
        <v>8.650799002090217</v>
      </c>
      <c r="DV63" s="8">
        <v>81.49821320207673</v>
      </c>
      <c r="DW63" s="8">
        <v>6.708920504348999</v>
      </c>
      <c r="DX63" s="23">
        <f t="shared" si="7"/>
        <v>1.941878497741218</v>
      </c>
      <c r="DY63" s="8">
        <v>3.1420672914840533</v>
      </c>
      <c r="DZ63" s="23">
        <f>3-49</f>
        <v>-46</v>
      </c>
      <c r="EA63" s="8">
        <v>48.09744312462251</v>
      </c>
      <c r="EB63" s="23">
        <f>10-35</f>
        <v>-25</v>
      </c>
      <c r="EC63" s="8">
        <v>55.070129521508626</v>
      </c>
      <c r="ED63" s="20">
        <v>-3.588</v>
      </c>
      <c r="EE63" s="23">
        <f>16-15</f>
        <v>1</v>
      </c>
      <c r="EF63" s="8">
        <v>69.19669820817394</v>
      </c>
      <c r="EG63" s="23">
        <f>17-2</f>
        <v>15</v>
      </c>
      <c r="EH63" s="8">
        <v>81.14220522112609</v>
      </c>
      <c r="EI63" s="23">
        <f>13-13</f>
        <v>0</v>
      </c>
      <c r="EJ63" s="8">
        <v>73.27696127776659</v>
      </c>
      <c r="EK63" s="8">
        <v>17.09952352191128</v>
      </c>
      <c r="EL63" s="8">
        <v>81.61197235084894</v>
      </c>
      <c r="EM63" s="8">
        <v>1.2885041272397826</v>
      </c>
      <c r="EN63" s="23">
        <f t="shared" si="8"/>
        <v>15.811019394671497</v>
      </c>
      <c r="EO63" s="8">
        <v>0</v>
      </c>
      <c r="EP63" s="23">
        <f>5-58</f>
        <v>-53</v>
      </c>
      <c r="EQ63" s="8">
        <v>37.140339785582654</v>
      </c>
      <c r="ER63" s="23">
        <f>17-38</f>
        <v>-21</v>
      </c>
      <c r="ES63" s="8">
        <v>45.50517211229335</v>
      </c>
      <c r="ET63" s="20">
        <v>-4.072</v>
      </c>
      <c r="EU63" s="23">
        <f>20-19</f>
        <v>1</v>
      </c>
      <c r="EV63" s="8">
        <v>61.59252633136493</v>
      </c>
      <c r="EW63" s="23">
        <f>12-2</f>
        <v>10</v>
      </c>
      <c r="EX63" s="8">
        <v>85.75214215574178</v>
      </c>
      <c r="EY63" s="23">
        <f>15-19</f>
        <v>-4</v>
      </c>
      <c r="EZ63" s="8">
        <v>65.3354138362411</v>
      </c>
      <c r="FA63" s="8">
        <v>22.48624581321209</v>
      </c>
      <c r="FB63" s="8">
        <v>73.50183613349296</v>
      </c>
      <c r="FC63" s="8">
        <v>3.3581738206373335</v>
      </c>
      <c r="FD63" s="23">
        <f t="shared" si="9"/>
        <v>19.128071992574757</v>
      </c>
      <c r="FE63" s="8">
        <v>0.6537442326576183</v>
      </c>
      <c r="FF63" s="23">
        <f>5-57</f>
        <v>-52</v>
      </c>
      <c r="FG63" s="8">
        <v>38.44717118451461</v>
      </c>
      <c r="FH63" s="23">
        <f>10-51</f>
        <v>-41</v>
      </c>
      <c r="FI63" s="8">
        <v>39.09794558153194</v>
      </c>
      <c r="FJ63" s="20">
        <v>-6.301</v>
      </c>
      <c r="FK63" s="23">
        <f>18-25</f>
        <v>-7</v>
      </c>
      <c r="FL63" s="8">
        <v>56.70103040130747</v>
      </c>
      <c r="FM63" s="23">
        <f>15-5</f>
        <v>10</v>
      </c>
      <c r="FN63" s="8">
        <v>80.44648169665088</v>
      </c>
      <c r="FO63" s="23">
        <f>13-30</f>
        <v>-17</v>
      </c>
      <c r="FP63" s="8">
        <v>56.53075243555203</v>
      </c>
      <c r="FQ63" s="8">
        <v>24.619057955285435</v>
      </c>
      <c r="FR63" s="8">
        <v>68.56124312108173</v>
      </c>
      <c r="FS63" s="8">
        <v>5.109564728865282</v>
      </c>
      <c r="FT63" s="112">
        <f>FQ63-FS63</f>
        <v>19.509493226420155</v>
      </c>
      <c r="FU63" s="23">
        <v>1.710134194767553</v>
      </c>
    </row>
    <row r="64" spans="1:177" ht="12">
      <c r="A64" s="1" t="s">
        <v>36</v>
      </c>
      <c r="B64" s="23">
        <f>4-53</f>
        <v>-49</v>
      </c>
      <c r="C64" s="8">
        <v>42.826426320285115</v>
      </c>
      <c r="D64" s="23">
        <f>7-47</f>
        <v>-40</v>
      </c>
      <c r="E64" s="8">
        <v>45.556831904803985</v>
      </c>
      <c r="F64" s="20">
        <v>-3.479</v>
      </c>
      <c r="G64" s="23">
        <f>25-31</f>
        <v>-6</v>
      </c>
      <c r="H64" s="8">
        <v>43.57456334128597</v>
      </c>
      <c r="I64" s="23">
        <f>15-1</f>
        <v>14</v>
      </c>
      <c r="J64" s="8">
        <v>83.8590910429737</v>
      </c>
      <c r="K64" s="23">
        <f>19-37</f>
        <v>-18</v>
      </c>
      <c r="L64" s="8">
        <v>44.4729168507555</v>
      </c>
      <c r="M64" s="8">
        <v>28.532296545020763</v>
      </c>
      <c r="N64" s="8">
        <v>65.11442961915702</v>
      </c>
      <c r="O64" s="8">
        <v>2.4329180289240377</v>
      </c>
      <c r="P64" s="23">
        <f t="shared" si="0"/>
        <v>26.099378516096724</v>
      </c>
      <c r="Q64" s="8">
        <v>3.920355806898177</v>
      </c>
      <c r="R64" s="23">
        <f>8-53</f>
        <v>-45</v>
      </c>
      <c r="S64" s="8">
        <v>38.222366921699496</v>
      </c>
      <c r="T64" s="23">
        <f>8-59</f>
        <v>-51</v>
      </c>
      <c r="U64" s="8">
        <v>33.143415269412344</v>
      </c>
      <c r="V64" s="20">
        <v>-6.128</v>
      </c>
      <c r="W64" s="23">
        <f>37-30</f>
        <v>7</v>
      </c>
      <c r="X64" s="8">
        <v>43.60247436106137</v>
      </c>
      <c r="Y64" s="23">
        <f>15-4</f>
        <v>11</v>
      </c>
      <c r="Z64" s="8">
        <v>80.7423083184112</v>
      </c>
      <c r="AA64" s="23">
        <f>22-34</f>
        <v>-12</v>
      </c>
      <c r="AB64" s="8">
        <v>44.098974442454825</v>
      </c>
      <c r="AC64" s="8">
        <v>26.558684681751586</v>
      </c>
      <c r="AD64" s="8">
        <v>69.11118346084974</v>
      </c>
      <c r="AE64" s="8">
        <v>4.330131857398665</v>
      </c>
      <c r="AF64" s="23">
        <f t="shared" si="1"/>
        <v>22.22855282435292</v>
      </c>
      <c r="AG64" s="8">
        <v>0</v>
      </c>
      <c r="AH64" s="23">
        <f>11-58</f>
        <v>-47</v>
      </c>
      <c r="AI64" s="8">
        <v>31.204764776839568</v>
      </c>
      <c r="AJ64" s="23">
        <f>9-58</f>
        <v>-49</v>
      </c>
      <c r="AK64" s="8">
        <v>32.56936067551266</v>
      </c>
      <c r="AL64" s="20">
        <v>-7.527</v>
      </c>
      <c r="AM64" s="23">
        <f>18-35</f>
        <v>-17</v>
      </c>
      <c r="AN64" s="8">
        <v>47.24819059107358</v>
      </c>
      <c r="AO64" s="23">
        <f>12-8</f>
        <v>4</v>
      </c>
      <c r="AP64" s="8">
        <v>79.56875753920386</v>
      </c>
      <c r="AQ64" s="23">
        <f>17-40</f>
        <v>-23</v>
      </c>
      <c r="AR64" s="8">
        <v>43.38057901085645</v>
      </c>
      <c r="AS64" s="8">
        <v>25.670989143546443</v>
      </c>
      <c r="AT64" s="8">
        <v>57.863389626055486</v>
      </c>
      <c r="AU64" s="8">
        <v>13.683655006031364</v>
      </c>
      <c r="AV64" s="23">
        <f t="shared" si="2"/>
        <v>11.987334137515079</v>
      </c>
      <c r="AW64" s="8">
        <v>2.7819662243667067</v>
      </c>
      <c r="AX64" s="23">
        <f>13-59</f>
        <v>-46</v>
      </c>
      <c r="AY64" s="8">
        <v>28.215786799685926</v>
      </c>
      <c r="AZ64" s="23">
        <f>8-62</f>
        <v>-54</v>
      </c>
      <c r="BA64" s="8">
        <v>30.026326728557574</v>
      </c>
      <c r="BB64" s="20">
        <v>-5.244</v>
      </c>
      <c r="BC64" s="23">
        <f>26-27</f>
        <v>-1</v>
      </c>
      <c r="BD64" s="8">
        <v>47.07865687497113</v>
      </c>
      <c r="BE64" s="23">
        <f>15-7</f>
        <v>8</v>
      </c>
      <c r="BF64" s="8">
        <v>77.71003648792204</v>
      </c>
      <c r="BG64" s="23">
        <f>23-29</f>
        <v>-6</v>
      </c>
      <c r="BH64" s="8">
        <v>48.5196988591751</v>
      </c>
      <c r="BI64" s="8">
        <v>16.6551198558958</v>
      </c>
      <c r="BJ64" s="8">
        <v>78.80467414900004</v>
      </c>
      <c r="BK64" s="8">
        <v>4.055239942727819</v>
      </c>
      <c r="BL64" s="23">
        <f t="shared" si="3"/>
        <v>12.599879913167982</v>
      </c>
      <c r="BM64" s="8">
        <v>0.4849660523763337</v>
      </c>
      <c r="BN64" s="23">
        <f>12-50</f>
        <v>-38</v>
      </c>
      <c r="BO64" s="8">
        <v>37.40196078431373</v>
      </c>
      <c r="BP64" s="23">
        <f>9-55</f>
        <v>-46</v>
      </c>
      <c r="BQ64" s="8">
        <v>35.917366946778714</v>
      </c>
      <c r="BR64" s="20">
        <v>-6.978</v>
      </c>
      <c r="BS64" s="23">
        <f>19-35</f>
        <v>-16</v>
      </c>
      <c r="BT64" s="8">
        <v>46.19747899159664</v>
      </c>
      <c r="BU64" s="23">
        <f>15-5</f>
        <v>10</v>
      </c>
      <c r="BV64" s="8">
        <v>79.49579831932773</v>
      </c>
      <c r="BW64" s="23">
        <f>10-40</f>
        <v>-30</v>
      </c>
      <c r="BX64" s="8">
        <v>50.46218487394958</v>
      </c>
      <c r="BY64" s="8">
        <v>27.913165266106443</v>
      </c>
      <c r="BZ64" s="8">
        <v>62.296918767507</v>
      </c>
      <c r="CA64" s="8">
        <v>9.180672268907564</v>
      </c>
      <c r="CB64" s="23">
        <f t="shared" si="4"/>
        <v>18.73249299719888</v>
      </c>
      <c r="CC64" s="8">
        <v>0.6092436974789917</v>
      </c>
      <c r="CD64" s="23">
        <f>18-36</f>
        <v>-18</v>
      </c>
      <c r="CE64" s="8">
        <v>46.14906188452368</v>
      </c>
      <c r="CF64" s="23">
        <f>11-40</f>
        <v>-29</v>
      </c>
      <c r="CG64" s="8">
        <v>49.56981445008811</v>
      </c>
      <c r="CH64" s="20">
        <v>-4.099</v>
      </c>
      <c r="CI64" s="23">
        <f>26-31</f>
        <v>-5</v>
      </c>
      <c r="CJ64" s="8">
        <v>42.58318648284441</v>
      </c>
      <c r="CK64" s="23">
        <f>6-5</f>
        <v>1</v>
      </c>
      <c r="CL64" s="8">
        <v>89.26091012750078</v>
      </c>
      <c r="CM64" s="23">
        <f>15-29</f>
        <v>-14</v>
      </c>
      <c r="CN64" s="8">
        <v>56.38022183062091</v>
      </c>
      <c r="CO64" s="8">
        <v>26.028817248885666</v>
      </c>
      <c r="CP64" s="8">
        <v>71.08945786254795</v>
      </c>
      <c r="CQ64" s="8">
        <v>2.187208458588162</v>
      </c>
      <c r="CR64" s="23">
        <f t="shared" si="5"/>
        <v>23.841608790297503</v>
      </c>
      <c r="CS64" s="8">
        <v>0.6945164299782316</v>
      </c>
      <c r="CT64" s="23">
        <f>24-48</f>
        <v>-24</v>
      </c>
      <c r="CU64" s="8">
        <v>27.38086655612429</v>
      </c>
      <c r="CV64" s="23">
        <f>19-54</f>
        <v>-35</v>
      </c>
      <c r="CW64" s="8">
        <v>27.034820849253837</v>
      </c>
      <c r="CX64" s="20">
        <v>-4.887</v>
      </c>
      <c r="CY64" s="23">
        <f>22-32</f>
        <v>-10</v>
      </c>
      <c r="CZ64" s="8">
        <v>46.28361329392257</v>
      </c>
      <c r="DA64" s="23">
        <f>15-0</f>
        <v>15</v>
      </c>
      <c r="DB64" s="8">
        <v>84.82445389661885</v>
      </c>
      <c r="DC64" s="23">
        <f>20-33</f>
        <v>-13</v>
      </c>
      <c r="DD64" s="8">
        <v>47.1919832744575</v>
      </c>
      <c r="DE64" s="8">
        <v>18.426933890851416</v>
      </c>
      <c r="DF64" s="8">
        <v>72.16494845360825</v>
      </c>
      <c r="DG64" s="8">
        <v>9.408117655540336</v>
      </c>
      <c r="DH64" s="23">
        <f t="shared" si="6"/>
        <v>9.01881623531108</v>
      </c>
      <c r="DI64" s="8">
        <v>0</v>
      </c>
      <c r="DJ64" s="23">
        <f>14-53</f>
        <v>-39</v>
      </c>
      <c r="DK64" s="8">
        <v>32.809655451419324</v>
      </c>
      <c r="DL64" s="23">
        <f>12-65</f>
        <v>-53</v>
      </c>
      <c r="DM64" s="8">
        <v>23.538534151439553</v>
      </c>
      <c r="DN64" s="20">
        <v>-7.214</v>
      </c>
      <c r="DO64" s="23">
        <f>11-28</f>
        <v>-17</v>
      </c>
      <c r="DP64" s="8">
        <v>60.643247252376774</v>
      </c>
      <c r="DQ64" s="23">
        <f>21-5</f>
        <v>16</v>
      </c>
      <c r="DR64" s="8">
        <v>73.50819229991234</v>
      </c>
      <c r="DS64" s="23">
        <f>6-45</f>
        <v>-39</v>
      </c>
      <c r="DT64" s="8">
        <v>49.079630503674736</v>
      </c>
      <c r="DU64" s="8">
        <v>21.367406108826106</v>
      </c>
      <c r="DV64" s="8">
        <v>68.95017193715866</v>
      </c>
      <c r="DW64" s="8">
        <v>8.536174229654103</v>
      </c>
      <c r="DX64" s="23">
        <f t="shared" si="7"/>
        <v>12.831231879172003</v>
      </c>
      <c r="DY64" s="8">
        <v>1.1462477243611353</v>
      </c>
      <c r="DZ64" s="23">
        <f>15-34</f>
        <v>-19</v>
      </c>
      <c r="EA64" s="8">
        <v>51.043554123884306</v>
      </c>
      <c r="EB64" s="23">
        <f>14-40</f>
        <v>-26</v>
      </c>
      <c r="EC64" s="8">
        <v>46.553922555533184</v>
      </c>
      <c r="ED64" s="20">
        <v>-4.048</v>
      </c>
      <c r="EE64" s="23">
        <f>29-27</f>
        <v>2</v>
      </c>
      <c r="EF64" s="8">
        <v>44.198375947922955</v>
      </c>
      <c r="EG64" s="23">
        <f>15-0</f>
        <v>15</v>
      </c>
      <c r="EH64" s="8">
        <v>85.04798335682169</v>
      </c>
      <c r="EI64" s="23">
        <f>17-30</f>
        <v>-13</v>
      </c>
      <c r="EJ64" s="8">
        <v>52.701160995906314</v>
      </c>
      <c r="EK64" s="8">
        <v>13.730622105898933</v>
      </c>
      <c r="EL64" s="8">
        <v>80.04160794577545</v>
      </c>
      <c r="EM64" s="8">
        <v>1.194550701295215</v>
      </c>
      <c r="EN64" s="23">
        <f t="shared" si="8"/>
        <v>12.536071404603717</v>
      </c>
      <c r="EO64" s="8">
        <v>5.0332192470304005</v>
      </c>
      <c r="EP64" s="23">
        <f>12-51</f>
        <v>-39</v>
      </c>
      <c r="EQ64" s="8">
        <v>37.35959968254395</v>
      </c>
      <c r="ER64" s="23">
        <f>10-53</f>
        <v>-43</v>
      </c>
      <c r="ES64" s="8">
        <v>36.62111082713442</v>
      </c>
      <c r="ET64" s="20">
        <v>-5.253</v>
      </c>
      <c r="EU64" s="23">
        <f>23-30</f>
        <v>-7</v>
      </c>
      <c r="EV64" s="8">
        <v>46.620303735489166</v>
      </c>
      <c r="EW64" s="23">
        <f>15-4</f>
        <v>11</v>
      </c>
      <c r="EX64" s="8">
        <v>81.4315115481363</v>
      </c>
      <c r="EY64" s="23">
        <f>17-35</f>
        <v>-18</v>
      </c>
      <c r="EZ64" s="8">
        <v>47.81950740506585</v>
      </c>
      <c r="FA64" s="8">
        <v>23.02161660456545</v>
      </c>
      <c r="FB64" s="8">
        <v>69.44485546333786</v>
      </c>
      <c r="FC64" s="8">
        <v>5.597180559852571</v>
      </c>
      <c r="FD64" s="23">
        <f t="shared" si="9"/>
        <v>17.424436044712877</v>
      </c>
      <c r="FE64" s="8">
        <v>1.9363473722441182</v>
      </c>
      <c r="FF64" s="23">
        <f>12-46</f>
        <v>-34</v>
      </c>
      <c r="FG64" s="8">
        <v>42.10973071668433</v>
      </c>
      <c r="FH64" s="23">
        <f>8-58</f>
        <v>-50</v>
      </c>
      <c r="FI64" s="8">
        <v>34.08649242201764</v>
      </c>
      <c r="FJ64" s="20">
        <v>-7.455</v>
      </c>
      <c r="FK64" s="23">
        <f>22-32</f>
        <v>-10</v>
      </c>
      <c r="FL64" s="8">
        <v>46.070149005988334</v>
      </c>
      <c r="FM64" s="23">
        <f>21-6</f>
        <v>15</v>
      </c>
      <c r="FN64" s="8">
        <v>73.20512263946168</v>
      </c>
      <c r="FO64" s="23">
        <f>14-36</f>
        <v>-22</v>
      </c>
      <c r="FP64" s="8">
        <v>50.47715113829339</v>
      </c>
      <c r="FQ64" s="8">
        <v>23.189162272245557</v>
      </c>
      <c r="FR64" s="8">
        <v>67.12930451103819</v>
      </c>
      <c r="FS64" s="8">
        <v>6.717756866149976</v>
      </c>
      <c r="FT64" s="112">
        <f>FQ64-FS64</f>
        <v>16.47140540609558</v>
      </c>
      <c r="FU64" s="23">
        <v>2.963776350566274</v>
      </c>
    </row>
    <row r="65" spans="1:177" ht="12">
      <c r="A65" s="1" t="s">
        <v>32</v>
      </c>
      <c r="B65" s="23">
        <f>23-46</f>
        <v>-23</v>
      </c>
      <c r="C65" s="8">
        <v>31.1722612941863</v>
      </c>
      <c r="D65" s="23">
        <f>21-57</f>
        <v>-36</v>
      </c>
      <c r="E65" s="8">
        <v>22.815638340345814</v>
      </c>
      <c r="F65" s="20">
        <v>-4.628</v>
      </c>
      <c r="G65" s="23">
        <f>35-16</f>
        <v>19</v>
      </c>
      <c r="H65" s="8">
        <v>48.92355885875741</v>
      </c>
      <c r="I65" s="23">
        <f>10-6</f>
        <v>4</v>
      </c>
      <c r="J65" s="8">
        <v>84.47836368661896</v>
      </c>
      <c r="K65" s="23">
        <f>27-24</f>
        <v>3</v>
      </c>
      <c r="L65" s="8">
        <v>49.261386321058936</v>
      </c>
      <c r="M65" s="8">
        <v>45.66813058566998</v>
      </c>
      <c r="N65" s="8">
        <v>47.725806946961086</v>
      </c>
      <c r="O65" s="8">
        <v>3.8113080065108567</v>
      </c>
      <c r="P65" s="23">
        <f t="shared" si="0"/>
        <v>41.85682257915912</v>
      </c>
      <c r="Q65" s="8">
        <v>2.794754460858082</v>
      </c>
      <c r="R65" s="23">
        <f>20-54</f>
        <v>-34</v>
      </c>
      <c r="S65" s="8">
        <v>25.56083650190114</v>
      </c>
      <c r="T65" s="23">
        <f>29-56</f>
        <v>-27</v>
      </c>
      <c r="U65" s="8">
        <v>14.610266159695817</v>
      </c>
      <c r="V65" s="20">
        <v>-7.11</v>
      </c>
      <c r="W65" s="23">
        <f>29-34</f>
        <v>-5</v>
      </c>
      <c r="X65" s="8">
        <v>36.34980988593156</v>
      </c>
      <c r="Y65" s="23">
        <f>22-6</f>
        <v>16</v>
      </c>
      <c r="Z65" s="8">
        <v>71.68250950570342</v>
      </c>
      <c r="AA65" s="23">
        <f>17-40</f>
        <v>-23</v>
      </c>
      <c r="AB65" s="8">
        <v>42.17680608365019</v>
      </c>
      <c r="AC65" s="8">
        <v>44.59125475285171</v>
      </c>
      <c r="AD65" s="8">
        <v>49.70532319391635</v>
      </c>
      <c r="AE65" s="8">
        <v>4.790874524714829</v>
      </c>
      <c r="AF65" s="23">
        <f t="shared" si="1"/>
        <v>39.80038022813688</v>
      </c>
      <c r="AG65" s="8">
        <v>0.9125475285171103</v>
      </c>
      <c r="AH65" s="23">
        <f>9-59</f>
        <v>-50</v>
      </c>
      <c r="AI65" s="8">
        <v>32.01145958986731</v>
      </c>
      <c r="AJ65" s="23">
        <f>11-67</f>
        <v>-56</v>
      </c>
      <c r="AK65" s="8">
        <v>22.77593486127865</v>
      </c>
      <c r="AL65" s="20">
        <v>-8.333</v>
      </c>
      <c r="AM65" s="23">
        <f>21-33</f>
        <v>-12</v>
      </c>
      <c r="AN65" s="8">
        <v>45.876055488540416</v>
      </c>
      <c r="AO65" s="23">
        <f>17-9</f>
        <v>8</v>
      </c>
      <c r="AP65" s="8">
        <v>74.84167671893847</v>
      </c>
      <c r="AQ65" s="23">
        <f>18-40</f>
        <v>-22</v>
      </c>
      <c r="AR65" s="8">
        <v>42.649276236429436</v>
      </c>
      <c r="AS65" s="8">
        <v>28.14384800965018</v>
      </c>
      <c r="AT65" s="8">
        <v>65.8851025331725</v>
      </c>
      <c r="AU65" s="8">
        <v>3.4680337756332933</v>
      </c>
      <c r="AV65" s="23">
        <f t="shared" si="2"/>
        <v>24.675814234016887</v>
      </c>
      <c r="AW65" s="8">
        <v>2.5030156815440288</v>
      </c>
      <c r="AX65" s="23">
        <f>8-66</f>
        <v>-58</v>
      </c>
      <c r="AY65" s="8">
        <v>26.495011649441423</v>
      </c>
      <c r="AZ65" s="23">
        <f>10-65</f>
        <v>-55</v>
      </c>
      <c r="BA65" s="8">
        <v>24.684867674293564</v>
      </c>
      <c r="BB65" s="20">
        <v>-4.956</v>
      </c>
      <c r="BC65" s="23">
        <f>26-28</f>
        <v>-2</v>
      </c>
      <c r="BD65" s="8">
        <v>46.40659537606787</v>
      </c>
      <c r="BE65" s="23">
        <f>21-7</f>
        <v>14</v>
      </c>
      <c r="BF65" s="8">
        <v>72.47744787621721</v>
      </c>
      <c r="BG65" s="23">
        <f>17-31</f>
        <v>-14</v>
      </c>
      <c r="BH65" s="8">
        <v>51.83702730151144</v>
      </c>
      <c r="BI65" s="8">
        <v>23.024075512276717</v>
      </c>
      <c r="BJ65" s="8">
        <v>72.70446263217636</v>
      </c>
      <c r="BK65" s="8">
        <v>2.5628771133281556</v>
      </c>
      <c r="BL65" s="23">
        <f t="shared" si="3"/>
        <v>20.46119839894856</v>
      </c>
      <c r="BM65" s="8">
        <v>1.7085847422187705</v>
      </c>
      <c r="BN65" s="23">
        <f>14-55</f>
        <v>-41</v>
      </c>
      <c r="BO65" s="8">
        <v>30.721288515406165</v>
      </c>
      <c r="BP65" s="23">
        <f>10-63</f>
        <v>-53</v>
      </c>
      <c r="BQ65" s="8">
        <v>27.093837535014003</v>
      </c>
      <c r="BR65" s="20">
        <v>-6.229</v>
      </c>
      <c r="BS65" s="23">
        <f>39-31</f>
        <v>8</v>
      </c>
      <c r="BT65" s="8">
        <v>30.30112044817927</v>
      </c>
      <c r="BU65" s="23">
        <f>21-7</f>
        <v>14</v>
      </c>
      <c r="BV65" s="8">
        <v>72.42296918767506</v>
      </c>
      <c r="BW65" s="23">
        <f>20-41</f>
        <v>-21</v>
      </c>
      <c r="BX65" s="8">
        <v>38.340336134453786</v>
      </c>
      <c r="BY65" s="8">
        <v>19.810924369747898</v>
      </c>
      <c r="BZ65" s="8">
        <v>69.54481792717087</v>
      </c>
      <c r="CA65" s="8">
        <v>7.016806722689076</v>
      </c>
      <c r="CB65" s="23">
        <f t="shared" si="4"/>
        <v>12.794117647058822</v>
      </c>
      <c r="CC65" s="8">
        <v>3.6274509803921573</v>
      </c>
      <c r="CD65" s="23">
        <f>21-52</f>
        <v>-31</v>
      </c>
      <c r="CE65" s="8">
        <v>27.137970353477765</v>
      </c>
      <c r="CF65" s="23">
        <f>17-64</f>
        <v>-47</v>
      </c>
      <c r="CG65" s="8">
        <v>19.094018865968696</v>
      </c>
      <c r="CH65" s="20">
        <v>-5.687</v>
      </c>
      <c r="CI65" s="23">
        <f>33-38</f>
        <v>-5</v>
      </c>
      <c r="CJ65" s="8">
        <v>29.12822639162434</v>
      </c>
      <c r="CK65" s="23">
        <f>13-7</f>
        <v>6</v>
      </c>
      <c r="CL65" s="8">
        <v>80.51207629314813</v>
      </c>
      <c r="CM65" s="23">
        <f>19-45</f>
        <v>-26</v>
      </c>
      <c r="CN65" s="8">
        <v>35.202653674717524</v>
      </c>
      <c r="CO65" s="8">
        <v>33.36788638955115</v>
      </c>
      <c r="CP65" s="8">
        <v>62.79672437027055</v>
      </c>
      <c r="CQ65" s="8">
        <v>1.4926920286099306</v>
      </c>
      <c r="CR65" s="23">
        <f t="shared" si="5"/>
        <v>31.875194360941222</v>
      </c>
      <c r="CS65" s="8">
        <v>2.3426972115683635</v>
      </c>
      <c r="CT65" s="23">
        <f>21-52</f>
        <v>-31</v>
      </c>
      <c r="CU65" s="8">
        <v>26.703193713502994</v>
      </c>
      <c r="CV65" s="23">
        <f>23-61</f>
        <v>-38</v>
      </c>
      <c r="CW65" s="8">
        <v>16.228101795112103</v>
      </c>
      <c r="CX65" s="20">
        <v>-6.896</v>
      </c>
      <c r="CY65" s="23">
        <f>19-40</f>
        <v>-21</v>
      </c>
      <c r="CZ65" s="8">
        <v>40.78292841179439</v>
      </c>
      <c r="DA65" s="23">
        <f>15-8</f>
        <v>7</v>
      </c>
      <c r="DB65" s="8">
        <v>77.04563477759353</v>
      </c>
      <c r="DC65" s="23">
        <f>19-47</f>
        <v>-28</v>
      </c>
      <c r="DD65" s="8">
        <v>33.57364285199337</v>
      </c>
      <c r="DE65" s="8">
        <v>26.0615672986807</v>
      </c>
      <c r="DF65" s="8">
        <v>62.07915795544662</v>
      </c>
      <c r="DG65" s="8">
        <v>8.93951409415327</v>
      </c>
      <c r="DH65" s="23">
        <f t="shared" si="6"/>
        <v>17.122053204527433</v>
      </c>
      <c r="DI65" s="8">
        <v>2.9197606517194146</v>
      </c>
      <c r="DJ65" s="23">
        <f>14-51</f>
        <v>-37</v>
      </c>
      <c r="DK65" s="8">
        <v>34.936784618837436</v>
      </c>
      <c r="DL65" s="23">
        <f>9-68</f>
        <v>-59</v>
      </c>
      <c r="DM65" s="8">
        <v>23.60290267075634</v>
      </c>
      <c r="DN65" s="20">
        <v>-9.434</v>
      </c>
      <c r="DO65" s="23">
        <f>36-33</f>
        <v>3</v>
      </c>
      <c r="DP65" s="8">
        <v>31.03912620632902</v>
      </c>
      <c r="DQ65" s="23">
        <f>22-3</f>
        <v>19</v>
      </c>
      <c r="DR65" s="8">
        <v>74.9682052816638</v>
      </c>
      <c r="DS65" s="23">
        <f>23-42</f>
        <v>-19</v>
      </c>
      <c r="DT65" s="8">
        <v>34.81708685568938</v>
      </c>
      <c r="DU65" s="8">
        <v>21.440861823894668</v>
      </c>
      <c r="DV65" s="8">
        <v>69.70898481334629</v>
      </c>
      <c r="DW65" s="8">
        <v>7.2491957806538485</v>
      </c>
      <c r="DX65" s="23">
        <f t="shared" si="7"/>
        <v>14.191666043240819</v>
      </c>
      <c r="DY65" s="8">
        <v>1.6009575821051842</v>
      </c>
      <c r="DZ65" s="23">
        <f>24-45</f>
        <v>-21</v>
      </c>
      <c r="EA65" s="8">
        <v>30.997919602711228</v>
      </c>
      <c r="EB65" s="23">
        <f>18-58</f>
        <v>-40</v>
      </c>
      <c r="EC65" s="8">
        <v>24.6023756794846</v>
      </c>
      <c r="ED65" s="20">
        <v>-4.875</v>
      </c>
      <c r="EE65" s="23">
        <f>31-29</f>
        <v>2</v>
      </c>
      <c r="EF65" s="8">
        <v>40.01073753439366</v>
      </c>
      <c r="EG65" s="23">
        <f>19-9</f>
        <v>10</v>
      </c>
      <c r="EH65" s="8">
        <v>72.29045030534863</v>
      </c>
      <c r="EI65" s="23">
        <f>25-36</f>
        <v>-11</v>
      </c>
      <c r="EJ65" s="8">
        <v>38.406818334339974</v>
      </c>
      <c r="EK65" s="8">
        <v>40.822763572914575</v>
      </c>
      <c r="EL65" s="8">
        <v>45.70834172203208</v>
      </c>
      <c r="EM65" s="8">
        <v>11.30125494933226</v>
      </c>
      <c r="EN65" s="23">
        <f t="shared" si="8"/>
        <v>29.521508623582314</v>
      </c>
      <c r="EO65" s="8">
        <v>2.1676397557210927</v>
      </c>
      <c r="EP65" s="23">
        <f>18-53</f>
        <v>-35</v>
      </c>
      <c r="EQ65" s="8">
        <v>29.836866690621633</v>
      </c>
      <c r="ER65" s="23">
        <f>17-61</f>
        <v>-44</v>
      </c>
      <c r="ES65" s="8">
        <v>22.207689543657924</v>
      </c>
      <c r="ET65" s="20">
        <v>-6.16</v>
      </c>
      <c r="EU65" s="23">
        <f>30-29</f>
        <v>1</v>
      </c>
      <c r="EV65" s="8">
        <v>40.61228889687388</v>
      </c>
      <c r="EW65" s="23">
        <f>17-7</f>
        <v>10</v>
      </c>
      <c r="EX65" s="8">
        <v>76.67696730147323</v>
      </c>
      <c r="EY65" s="23">
        <f>22-36</f>
        <v>-14</v>
      </c>
      <c r="EZ65" s="8">
        <v>42.19619116061804</v>
      </c>
      <c r="FA65" s="8">
        <v>32.88537549407115</v>
      </c>
      <c r="FB65" s="8">
        <v>59.221703197987786</v>
      </c>
      <c r="FC65" s="8">
        <v>5.5141933165648584</v>
      </c>
      <c r="FD65" s="23">
        <f t="shared" si="9"/>
        <v>27.37118217750629</v>
      </c>
      <c r="FE65" s="8">
        <v>2.3787279913762127</v>
      </c>
      <c r="FF65" s="23">
        <f>13-55</f>
        <v>-42</v>
      </c>
      <c r="FG65" s="8">
        <v>31.490545078461164</v>
      </c>
      <c r="FH65" s="23">
        <f>10-65</f>
        <v>-55</v>
      </c>
      <c r="FI65" s="8">
        <v>25.41860851134463</v>
      </c>
      <c r="FJ65" s="20">
        <v>-8.32</v>
      </c>
      <c r="FK65" s="23">
        <f>25-37</f>
        <v>-12</v>
      </c>
      <c r="FL65" s="8">
        <v>37.21738020148367</v>
      </c>
      <c r="FM65" s="23">
        <f>17-6</f>
        <v>11</v>
      </c>
      <c r="FN65" s="8">
        <v>76.13110484046017</v>
      </c>
      <c r="FO65" s="23">
        <f>17-42</f>
        <v>-25</v>
      </c>
      <c r="FP65" s="8">
        <v>41.084334580370026</v>
      </c>
      <c r="FQ65" s="8">
        <v>26.204267163778905</v>
      </c>
      <c r="FR65" s="8">
        <v>61.317534697838326</v>
      </c>
      <c r="FS65" s="8">
        <v>8.961452521099606</v>
      </c>
      <c r="FT65" s="112">
        <f>FQ65-FS65</f>
        <v>17.2428146426793</v>
      </c>
      <c r="FU65" s="23">
        <v>3.5167456172831626</v>
      </c>
    </row>
    <row r="66" spans="1:177" ht="12">
      <c r="A66" s="1" t="s">
        <v>33</v>
      </c>
      <c r="B66" s="23">
        <f>31-36</f>
        <v>-5</v>
      </c>
      <c r="C66" s="8">
        <v>33.3159301004269</v>
      </c>
      <c r="D66" s="23">
        <f>12-59</f>
        <v>-47</v>
      </c>
      <c r="E66" s="8">
        <v>29.09308682165781</v>
      </c>
      <c r="F66" s="20">
        <v>-4.735</v>
      </c>
      <c r="G66" s="23">
        <f>12-50</f>
        <v>-38</v>
      </c>
      <c r="H66" s="8">
        <v>38.33420349497866</v>
      </c>
      <c r="I66" s="23">
        <f>9-7</f>
        <v>2</v>
      </c>
      <c r="J66" s="8">
        <v>84.83461810140966</v>
      </c>
      <c r="K66" s="23">
        <f>8-46</f>
        <v>-38</v>
      </c>
      <c r="L66" s="8">
        <v>46.16258714412948</v>
      </c>
      <c r="M66" s="8">
        <v>44.00049138539971</v>
      </c>
      <c r="N66" s="8">
        <v>50.90445625134363</v>
      </c>
      <c r="O66" s="8">
        <v>4.830932710911827</v>
      </c>
      <c r="P66" s="23">
        <f t="shared" si="0"/>
        <v>39.16955867448789</v>
      </c>
      <c r="Q66" s="8">
        <v>0.2641196523448297</v>
      </c>
      <c r="R66" s="23">
        <f>26-55</f>
        <v>-29</v>
      </c>
      <c r="S66" s="8">
        <v>19.173003802281368</v>
      </c>
      <c r="T66" s="23">
        <f>12-72</f>
        <v>-60</v>
      </c>
      <c r="U66" s="8">
        <v>16.102661596958175</v>
      </c>
      <c r="V66" s="20">
        <v>-8.191</v>
      </c>
      <c r="W66" s="23">
        <f>13-49</f>
        <v>-36</v>
      </c>
      <c r="X66" s="8">
        <v>37.40494296577947</v>
      </c>
      <c r="Y66" s="23">
        <f>8-10</f>
        <v>-2</v>
      </c>
      <c r="Z66" s="8">
        <v>82.33840304182509</v>
      </c>
      <c r="AA66" s="23">
        <f>9-53</f>
        <v>-44</v>
      </c>
      <c r="AB66" s="8">
        <v>38.66920152091255</v>
      </c>
      <c r="AC66" s="8">
        <v>36.39733840304182</v>
      </c>
      <c r="AD66" s="8">
        <v>49.08745247148289</v>
      </c>
      <c r="AE66" s="8">
        <v>13.55513307984791</v>
      </c>
      <c r="AF66" s="23">
        <f t="shared" si="1"/>
        <v>22.842205323193912</v>
      </c>
      <c r="AG66" s="8">
        <v>0.9600760456273764</v>
      </c>
      <c r="AH66" s="23">
        <f>23-49</f>
        <v>-26</v>
      </c>
      <c r="AI66" s="8">
        <v>27.917671893848013</v>
      </c>
      <c r="AJ66" s="23">
        <f>4-67</f>
        <v>-63</v>
      </c>
      <c r="AK66" s="8">
        <v>29.154101326899877</v>
      </c>
      <c r="AL66" s="20">
        <v>-10.513</v>
      </c>
      <c r="AM66" s="23">
        <f>5-60</f>
        <v>-55</v>
      </c>
      <c r="AN66" s="8">
        <v>34.60494571773221</v>
      </c>
      <c r="AO66" s="23">
        <f>19-8</f>
        <v>11</v>
      </c>
      <c r="AP66" s="8">
        <v>73.1151990349819</v>
      </c>
      <c r="AQ66" s="23">
        <f>5-64</f>
        <v>-59</v>
      </c>
      <c r="AR66" s="8">
        <v>30.36037394451146</v>
      </c>
      <c r="AS66" s="8">
        <v>31.898371531966223</v>
      </c>
      <c r="AT66" s="8">
        <v>54.50844390832328</v>
      </c>
      <c r="AU66" s="8">
        <v>9.506936067551267</v>
      </c>
      <c r="AV66" s="23">
        <f t="shared" si="2"/>
        <v>22.391435464414954</v>
      </c>
      <c r="AW66" s="8">
        <v>4.086248492159228</v>
      </c>
      <c r="AX66" s="23">
        <f>17-57</f>
        <v>-40</v>
      </c>
      <c r="AY66" s="8">
        <v>26.739948622976286</v>
      </c>
      <c r="AZ66" s="23">
        <f>8-70</f>
        <v>-62</v>
      </c>
      <c r="BA66" s="8">
        <v>22.40277196965171</v>
      </c>
      <c r="BB66" s="20">
        <v>-6.834</v>
      </c>
      <c r="BC66" s="23">
        <f>6-51</f>
        <v>-45</v>
      </c>
      <c r="BD66" s="8">
        <v>42.577214887388735</v>
      </c>
      <c r="BE66" s="23">
        <f>16-6</f>
        <v>10</v>
      </c>
      <c r="BF66" s="8">
        <v>78.13489455761993</v>
      </c>
      <c r="BG66" s="23">
        <f>7-41</f>
        <v>-34</v>
      </c>
      <c r="BH66" s="8">
        <v>51.2396200489874</v>
      </c>
      <c r="BI66" s="8">
        <v>25.77812294641257</v>
      </c>
      <c r="BJ66" s="8">
        <v>61.861520998864926</v>
      </c>
      <c r="BK66" s="8">
        <v>8.447338550690004</v>
      </c>
      <c r="BL66" s="23">
        <f t="shared" si="3"/>
        <v>17.330784395722567</v>
      </c>
      <c r="BM66" s="8">
        <v>3.913017504032499</v>
      </c>
      <c r="BN66" s="23">
        <f>33-41</f>
        <v>-8</v>
      </c>
      <c r="BO66" s="8">
        <v>25.93837535014006</v>
      </c>
      <c r="BP66" s="23">
        <f>9-63</f>
        <v>-54</v>
      </c>
      <c r="BQ66" s="8">
        <v>27.703081232493</v>
      </c>
      <c r="BR66" s="20">
        <v>-7.04</v>
      </c>
      <c r="BS66" s="23">
        <f>10-47</f>
        <v>-37</v>
      </c>
      <c r="BT66" s="8">
        <v>42.68207282913165</v>
      </c>
      <c r="BU66" s="23">
        <f>15-4</f>
        <v>11</v>
      </c>
      <c r="BV66" s="8">
        <v>81.61064425770309</v>
      </c>
      <c r="BW66" s="23">
        <f>6-43</f>
        <v>-37</v>
      </c>
      <c r="BX66" s="8">
        <v>50.882352941176464</v>
      </c>
      <c r="BY66" s="8">
        <v>22.689075630252102</v>
      </c>
      <c r="BZ66" s="8">
        <v>65.28711484593838</v>
      </c>
      <c r="CA66" s="8">
        <v>10.65126050420168</v>
      </c>
      <c r="CB66" s="23">
        <f t="shared" si="4"/>
        <v>12.037815126050422</v>
      </c>
      <c r="CC66" s="8">
        <v>1.3725490196078431</v>
      </c>
      <c r="CD66" s="23">
        <f>31-37</f>
        <v>-6</v>
      </c>
      <c r="CE66" s="8">
        <v>32.548978957188766</v>
      </c>
      <c r="CF66" s="23">
        <f>7-48</f>
        <v>-41</v>
      </c>
      <c r="CG66" s="8">
        <v>45.28869078469991</v>
      </c>
      <c r="CH66" s="20">
        <v>-7.284</v>
      </c>
      <c r="CI66" s="23">
        <f>15-47</f>
        <v>-32</v>
      </c>
      <c r="CJ66" s="8">
        <v>37.79413289105422</v>
      </c>
      <c r="CK66" s="23">
        <f>17-0</f>
        <v>17</v>
      </c>
      <c r="CL66" s="8">
        <v>83.20721467813829</v>
      </c>
      <c r="CM66" s="23">
        <f>9-53</f>
        <v>-44</v>
      </c>
      <c r="CN66" s="8">
        <v>38.05328081268789</v>
      </c>
      <c r="CO66" s="8">
        <v>24.919664144293563</v>
      </c>
      <c r="CP66" s="8">
        <v>70.13579351093604</v>
      </c>
      <c r="CQ66" s="8">
        <v>4.16709857986939</v>
      </c>
      <c r="CR66" s="23">
        <f t="shared" si="5"/>
        <v>20.752565564424174</v>
      </c>
      <c r="CS66" s="8">
        <v>0.7774437649010055</v>
      </c>
      <c r="CT66" s="23">
        <f>22-62</f>
        <v>-40</v>
      </c>
      <c r="CU66" s="8">
        <v>16.033451084997477</v>
      </c>
      <c r="CV66" s="23">
        <f>12-65</f>
        <v>-53</v>
      </c>
      <c r="CW66" s="8">
        <v>22.961574507966258</v>
      </c>
      <c r="CX66" s="20">
        <v>-7.711</v>
      </c>
      <c r="CY66" s="23">
        <f>8-54</f>
        <v>-46</v>
      </c>
      <c r="CZ66" s="8">
        <v>37.97130704347199</v>
      </c>
      <c r="DA66" s="23">
        <f>20-6</f>
        <v>14</v>
      </c>
      <c r="DB66" s="8">
        <v>74.53680340278278</v>
      </c>
      <c r="DC66" s="23">
        <f>8-54</f>
        <v>-46</v>
      </c>
      <c r="DD66" s="8">
        <v>37.365727056448705</v>
      </c>
      <c r="DE66" s="8">
        <v>35.68596352101507</v>
      </c>
      <c r="DF66" s="8">
        <v>59.95241871530531</v>
      </c>
      <c r="DG66" s="8">
        <v>2.6385985148871747</v>
      </c>
      <c r="DH66" s="23">
        <f t="shared" si="6"/>
        <v>33.04736500612789</v>
      </c>
      <c r="DI66" s="8">
        <v>1.7230192487924445</v>
      </c>
      <c r="DJ66" s="23">
        <f>21-38</f>
        <v>-17</v>
      </c>
      <c r="DK66" s="8">
        <v>41.19099274332311</v>
      </c>
      <c r="DL66" s="23">
        <f>6-67</f>
        <v>-61</v>
      </c>
      <c r="DM66" s="8">
        <v>27.223760005984886</v>
      </c>
      <c r="DN66" s="20">
        <v>-7.078</v>
      </c>
      <c r="DO66" s="23">
        <f>12-46</f>
        <v>-34</v>
      </c>
      <c r="DP66" s="8">
        <v>42.791950325428296</v>
      </c>
      <c r="DQ66" s="23">
        <f>20-6</f>
        <v>14</v>
      </c>
      <c r="DR66" s="8">
        <v>73.64404877683847</v>
      </c>
      <c r="DS66" s="23">
        <f>4-42</f>
        <v>-38</v>
      </c>
      <c r="DT66" s="8">
        <v>53.714371212687965</v>
      </c>
      <c r="DU66" s="8">
        <v>30.31345851724396</v>
      </c>
      <c r="DV66" s="8">
        <v>59.542156055958706</v>
      </c>
      <c r="DW66" s="8">
        <v>9.05214333807137</v>
      </c>
      <c r="DX66" s="23">
        <f t="shared" si="7"/>
        <v>21.26131517917259</v>
      </c>
      <c r="DY66" s="8">
        <v>1.092242088725967</v>
      </c>
      <c r="DZ66" s="23">
        <f>16-49</f>
        <v>-33</v>
      </c>
      <c r="EA66" s="8">
        <v>35.34662103214549</v>
      </c>
      <c r="EB66" s="23">
        <f>6-68</f>
        <v>-62</v>
      </c>
      <c r="EC66" s="8">
        <v>26.105630494597676</v>
      </c>
      <c r="ED66" s="20">
        <v>-10.522</v>
      </c>
      <c r="EE66" s="23">
        <f>5-56</f>
        <v>-51</v>
      </c>
      <c r="EF66" s="8">
        <v>39.34635259378565</v>
      </c>
      <c r="EG66" s="23">
        <f>19-4</f>
        <v>15</v>
      </c>
      <c r="EH66" s="8">
        <v>77.39077914233944</v>
      </c>
      <c r="EI66" s="23">
        <f>3-60</f>
        <v>-57</v>
      </c>
      <c r="EJ66" s="8">
        <v>37.77598818871217</v>
      </c>
      <c r="EK66" s="8">
        <v>30.098651097241795</v>
      </c>
      <c r="EL66" s="8">
        <v>58.324944634588284</v>
      </c>
      <c r="EM66" s="8">
        <v>11.57640426816992</v>
      </c>
      <c r="EN66" s="23">
        <f t="shared" si="8"/>
        <v>18.522246829071875</v>
      </c>
      <c r="EO66" s="8">
        <v>0</v>
      </c>
      <c r="EP66" s="23">
        <f>25-46</f>
        <v>-21</v>
      </c>
      <c r="EQ66" s="8">
        <v>29.38196191160618</v>
      </c>
      <c r="ER66" s="23">
        <f>9-64</f>
        <v>-55</v>
      </c>
      <c r="ES66" s="8">
        <v>27.181458857348183</v>
      </c>
      <c r="ET66" s="20">
        <v>-7.354</v>
      </c>
      <c r="EU66" s="23">
        <f>10-51</f>
        <v>-41</v>
      </c>
      <c r="EV66" s="8">
        <v>39.32806324110672</v>
      </c>
      <c r="EW66" s="23">
        <f>15-6</f>
        <v>9</v>
      </c>
      <c r="EX66" s="8">
        <v>79.3805246137262</v>
      </c>
      <c r="EY66" s="23">
        <f>7-50</f>
        <v>-43</v>
      </c>
      <c r="EZ66" s="8">
        <v>43.57312252964427</v>
      </c>
      <c r="FA66" s="8">
        <v>32.937836866690624</v>
      </c>
      <c r="FB66" s="8">
        <v>57.76428314768236</v>
      </c>
      <c r="FC66" s="8">
        <v>7.831836148041682</v>
      </c>
      <c r="FD66" s="23">
        <f t="shared" si="9"/>
        <v>25.106000718648943</v>
      </c>
      <c r="FE66" s="8">
        <v>1.4660438375853395</v>
      </c>
      <c r="FF66" s="23">
        <f>23-49</f>
        <v>-26</v>
      </c>
      <c r="FG66" s="8">
        <v>27.770579297488478</v>
      </c>
      <c r="FH66" s="23">
        <f>13-66</f>
        <v>-53</v>
      </c>
      <c r="FI66" s="8">
        <v>20.14729503696421</v>
      </c>
      <c r="FJ66" s="20">
        <v>-8.374</v>
      </c>
      <c r="FK66" s="23">
        <f>11-49</f>
        <v>-38</v>
      </c>
      <c r="FL66" s="8">
        <v>40.47426550390071</v>
      </c>
      <c r="FM66" s="23">
        <f>19-10</f>
        <v>9</v>
      </c>
      <c r="FN66" s="8">
        <v>71.11428899756126</v>
      </c>
      <c r="FO66" s="23">
        <f>8-49</f>
        <v>-41</v>
      </c>
      <c r="FP66" s="8">
        <v>42.84227326702333</v>
      </c>
      <c r="FQ66" s="8">
        <v>28.86487314700137</v>
      </c>
      <c r="FR66" s="8">
        <v>55.71577778061517</v>
      </c>
      <c r="FS66" s="8">
        <v>12.5035815064033</v>
      </c>
      <c r="FT66" s="112">
        <f>FQ66-FS66</f>
        <v>16.36129164059807</v>
      </c>
      <c r="FU66" s="23">
        <v>2.915767565980158</v>
      </c>
    </row>
    <row r="67" spans="1:177" ht="12">
      <c r="A67" s="1" t="s">
        <v>9</v>
      </c>
      <c r="B67" s="24">
        <f aca="true" t="shared" si="110" ref="B67:O67">AVERAGE(B63:B66)</f>
        <v>-33.5</v>
      </c>
      <c r="C67" s="13">
        <f t="shared" si="110"/>
        <v>34.53534937143613</v>
      </c>
      <c r="D67" s="24">
        <f t="shared" si="110"/>
        <v>-33.75</v>
      </c>
      <c r="E67" s="13">
        <f t="shared" si="110"/>
        <v>35.75780630890979</v>
      </c>
      <c r="F67" s="21">
        <f t="shared" si="110"/>
        <v>-3.75275</v>
      </c>
      <c r="G67" s="24">
        <f t="shared" si="110"/>
        <v>-3.75</v>
      </c>
      <c r="H67" s="13">
        <f t="shared" si="110"/>
        <v>46.56555248499082</v>
      </c>
      <c r="I67" s="24">
        <f t="shared" si="110"/>
        <v>7.25</v>
      </c>
      <c r="J67" s="13">
        <f t="shared" si="110"/>
        <v>85.56629439990988</v>
      </c>
      <c r="K67" s="24">
        <f t="shared" si="110"/>
        <v>-11.5</v>
      </c>
      <c r="L67" s="13">
        <f t="shared" si="110"/>
        <v>49.786746510534385</v>
      </c>
      <c r="M67" s="13">
        <f t="shared" si="110"/>
        <v>38.59120043989711</v>
      </c>
      <c r="N67" s="13">
        <f t="shared" si="110"/>
        <v>56.40478973996085</v>
      </c>
      <c r="O67" s="13">
        <f t="shared" si="110"/>
        <v>3.259202340116768</v>
      </c>
      <c r="P67" s="24">
        <f t="shared" si="0"/>
        <v>35.33199809978034</v>
      </c>
      <c r="Q67" s="13">
        <f aca="true" t="shared" si="111" ref="Q67:AE67">AVERAGE(Q63:Q66)</f>
        <v>1.7448074800252722</v>
      </c>
      <c r="R67" s="24">
        <f t="shared" si="111"/>
        <v>-42.75</v>
      </c>
      <c r="S67" s="13">
        <f t="shared" si="111"/>
        <v>27.997313242251064</v>
      </c>
      <c r="T67" s="24">
        <f t="shared" si="111"/>
        <v>-40.5</v>
      </c>
      <c r="U67" s="13">
        <f t="shared" si="111"/>
        <v>24.96009747717424</v>
      </c>
      <c r="V67" s="21">
        <f t="shared" si="111"/>
        <v>-6.666500000000001</v>
      </c>
      <c r="W67" s="24">
        <f t="shared" si="111"/>
        <v>-8</v>
      </c>
      <c r="X67" s="13">
        <f t="shared" si="111"/>
        <v>44.77964539996992</v>
      </c>
      <c r="Y67" s="24">
        <f t="shared" si="111"/>
        <v>7.75</v>
      </c>
      <c r="Z67" s="13">
        <f t="shared" si="111"/>
        <v>79.77984965731189</v>
      </c>
      <c r="AA67" s="24">
        <f t="shared" si="111"/>
        <v>-21.75</v>
      </c>
      <c r="AB67" s="13">
        <f t="shared" si="111"/>
        <v>47.63702688893167</v>
      </c>
      <c r="AC67" s="13">
        <f t="shared" si="111"/>
        <v>31.780600999375466</v>
      </c>
      <c r="AD67" s="13">
        <f t="shared" si="111"/>
        <v>60.44213010388033</v>
      </c>
      <c r="AE67" s="13">
        <f t="shared" si="111"/>
        <v>7.309113003208078</v>
      </c>
      <c r="AF67" s="24">
        <f t="shared" si="1"/>
        <v>24.471487996167387</v>
      </c>
      <c r="AG67" s="13">
        <f aca="true" t="shared" si="112" ref="AG67:AU67">AVERAGE(AG63:AG66)</f>
        <v>0.46815589353612164</v>
      </c>
      <c r="AH67" s="24">
        <f t="shared" si="112"/>
        <v>-43.75</v>
      </c>
      <c r="AI67" s="13">
        <f t="shared" si="112"/>
        <v>32.63344390832329</v>
      </c>
      <c r="AJ67" s="24">
        <f t="shared" si="112"/>
        <v>-51</v>
      </c>
      <c r="AK67" s="13">
        <f t="shared" si="112"/>
        <v>32.95762967430639</v>
      </c>
      <c r="AL67" s="21">
        <f t="shared" si="112"/>
        <v>-8.31325</v>
      </c>
      <c r="AM67" s="24">
        <f t="shared" si="112"/>
        <v>-21.25</v>
      </c>
      <c r="AN67" s="13">
        <f t="shared" si="112"/>
        <v>45.80631785283474</v>
      </c>
      <c r="AO67" s="24">
        <f t="shared" si="112"/>
        <v>8</v>
      </c>
      <c r="AP67" s="13">
        <f t="shared" si="112"/>
        <v>77.57840772014475</v>
      </c>
      <c r="AQ67" s="24">
        <f t="shared" si="112"/>
        <v>-28</v>
      </c>
      <c r="AR67" s="13">
        <f t="shared" si="112"/>
        <v>43.467279855247284</v>
      </c>
      <c r="AS67" s="13">
        <f t="shared" si="112"/>
        <v>25.85946924004825</v>
      </c>
      <c r="AT67" s="13">
        <f t="shared" si="112"/>
        <v>64.00595597104946</v>
      </c>
      <c r="AU67" s="13">
        <f t="shared" si="112"/>
        <v>7.473235826296744</v>
      </c>
      <c r="AV67" s="24">
        <f t="shared" si="2"/>
        <v>18.386233413751505</v>
      </c>
      <c r="AW67" s="13">
        <f aca="true" t="shared" si="113" ref="AW67:BK67">AVERAGE(AW63:AW66)</f>
        <v>2.661338962605549</v>
      </c>
      <c r="AX67" s="24">
        <f t="shared" si="113"/>
        <v>-48.75</v>
      </c>
      <c r="AY67" s="13">
        <f t="shared" si="113"/>
        <v>30.941874796292502</v>
      </c>
      <c r="AZ67" s="24">
        <f t="shared" si="113"/>
        <v>-45</v>
      </c>
      <c r="BA67" s="13">
        <f t="shared" si="113"/>
        <v>32.58388164439356</v>
      </c>
      <c r="BB67" s="21">
        <f t="shared" si="113"/>
        <v>-5.1255</v>
      </c>
      <c r="BC67" s="24">
        <f t="shared" si="113"/>
        <v>-12.75</v>
      </c>
      <c r="BD67" s="13">
        <f t="shared" si="113"/>
        <v>51.77923047450578</v>
      </c>
      <c r="BE67" s="24">
        <f t="shared" si="113"/>
        <v>9.25</v>
      </c>
      <c r="BF67" s="13">
        <f t="shared" si="113"/>
        <v>80.4363288766686</v>
      </c>
      <c r="BG67" s="24">
        <f t="shared" si="113"/>
        <v>-15</v>
      </c>
      <c r="BH67" s="13">
        <f t="shared" si="113"/>
        <v>57.49171506842237</v>
      </c>
      <c r="BI67" s="13">
        <f t="shared" si="113"/>
        <v>21.15394668640111</v>
      </c>
      <c r="BJ67" s="13">
        <f t="shared" si="113"/>
        <v>72.9526131771705</v>
      </c>
      <c r="BK67" s="13">
        <f t="shared" si="113"/>
        <v>4.208606754210628</v>
      </c>
      <c r="BL67" s="24">
        <f t="shared" si="3"/>
        <v>16.945339932190482</v>
      </c>
      <c r="BM67" s="13">
        <f aca="true" t="shared" si="114" ref="BM67:CA67">AVERAGE(BM63:BM66)</f>
        <v>1.6848333822177524</v>
      </c>
      <c r="BN67" s="24">
        <f t="shared" si="114"/>
        <v>-33.5</v>
      </c>
      <c r="BO67" s="13">
        <f t="shared" si="114"/>
        <v>34.7233893557423</v>
      </c>
      <c r="BP67" s="24">
        <f t="shared" si="114"/>
        <v>-44.25</v>
      </c>
      <c r="BQ67" s="13">
        <f t="shared" si="114"/>
        <v>33.681722689075634</v>
      </c>
      <c r="BR67" s="21">
        <f t="shared" si="114"/>
        <v>-6.14575</v>
      </c>
      <c r="BS67" s="24">
        <f t="shared" si="114"/>
        <v>-13.5</v>
      </c>
      <c r="BT67" s="13">
        <f t="shared" si="114"/>
        <v>45.108543417366946</v>
      </c>
      <c r="BU67" s="24">
        <f t="shared" si="114"/>
        <v>11.5</v>
      </c>
      <c r="BV67" s="13">
        <f t="shared" si="114"/>
        <v>79.64635854341736</v>
      </c>
      <c r="BW67" s="24">
        <f t="shared" si="114"/>
        <v>-26</v>
      </c>
      <c r="BX67" s="13">
        <f t="shared" si="114"/>
        <v>50.88410364145658</v>
      </c>
      <c r="BY67" s="13">
        <f t="shared" si="114"/>
        <v>23.23704481792717</v>
      </c>
      <c r="BZ67" s="13">
        <f t="shared" si="114"/>
        <v>66.44957983193277</v>
      </c>
      <c r="CA67" s="13">
        <f t="shared" si="114"/>
        <v>8.80077030812325</v>
      </c>
      <c r="CB67" s="24">
        <f t="shared" si="4"/>
        <v>14.436274509803921</v>
      </c>
      <c r="CC67" s="13">
        <f aca="true" t="shared" si="115" ref="CC67:CQ67">AVERAGE(CC63:CC66)</f>
        <v>1.5126050420168067</v>
      </c>
      <c r="CD67" s="24">
        <f t="shared" si="115"/>
        <v>-28.25</v>
      </c>
      <c r="CE67" s="13">
        <f t="shared" si="115"/>
        <v>35.44366124183684</v>
      </c>
      <c r="CF67" s="24">
        <f t="shared" si="115"/>
        <v>-33.5</v>
      </c>
      <c r="CG67" s="13">
        <f t="shared" si="115"/>
        <v>41.74095573753498</v>
      </c>
      <c r="CH67" s="21">
        <f t="shared" si="115"/>
        <v>-4.9685</v>
      </c>
      <c r="CI67" s="24">
        <f t="shared" si="115"/>
        <v>-9.75</v>
      </c>
      <c r="CJ67" s="13">
        <f t="shared" si="115"/>
        <v>45.56857054006427</v>
      </c>
      <c r="CK67" s="24">
        <f t="shared" si="115"/>
        <v>7.25</v>
      </c>
      <c r="CL67" s="13">
        <f t="shared" si="115"/>
        <v>86.68497978646212</v>
      </c>
      <c r="CM67" s="24">
        <f t="shared" si="115"/>
        <v>-21</v>
      </c>
      <c r="CN67" s="13">
        <f t="shared" si="115"/>
        <v>51.56266196745102</v>
      </c>
      <c r="CO67" s="13">
        <f t="shared" si="115"/>
        <v>26.026225769669324</v>
      </c>
      <c r="CP67" s="13">
        <f t="shared" si="115"/>
        <v>70.73442520990982</v>
      </c>
      <c r="CQ67" s="13">
        <f t="shared" si="115"/>
        <v>2.2183062091842025</v>
      </c>
      <c r="CR67" s="24">
        <f t="shared" si="5"/>
        <v>23.80791956048512</v>
      </c>
      <c r="CS67" s="13">
        <f aca="true" t="shared" si="116" ref="CS67:DG67">AVERAGE(CS63:CS66)</f>
        <v>1.0210428112366539</v>
      </c>
      <c r="CT67" s="24">
        <f t="shared" si="116"/>
        <v>-35</v>
      </c>
      <c r="CU67" s="13">
        <f t="shared" si="116"/>
        <v>25.461394275827267</v>
      </c>
      <c r="CV67" s="24">
        <f t="shared" si="116"/>
        <v>-36.75</v>
      </c>
      <c r="CW67" s="13">
        <f t="shared" si="116"/>
        <v>25.273952851272437</v>
      </c>
      <c r="CX67" s="21">
        <f t="shared" si="116"/>
        <v>-5.98475</v>
      </c>
      <c r="CY67" s="24">
        <f t="shared" si="116"/>
        <v>-15</v>
      </c>
      <c r="CZ67" s="13">
        <f t="shared" si="116"/>
        <v>45.85285848172446</v>
      </c>
      <c r="DA67" s="24">
        <f t="shared" si="116"/>
        <v>11.5</v>
      </c>
      <c r="DB67" s="13">
        <f t="shared" si="116"/>
        <v>80.12039506884868</v>
      </c>
      <c r="DC67" s="24">
        <f t="shared" si="116"/>
        <v>-18.5</v>
      </c>
      <c r="DD67" s="13">
        <f t="shared" si="116"/>
        <v>44.90123278783072</v>
      </c>
      <c r="DE67" s="13">
        <f t="shared" si="116"/>
        <v>25.978660514742987</v>
      </c>
      <c r="DF67" s="13">
        <f t="shared" si="116"/>
        <v>66.99949535001082</v>
      </c>
      <c r="DG67" s="13">
        <f t="shared" si="116"/>
        <v>5.6610914858337535</v>
      </c>
      <c r="DH67" s="24">
        <f t="shared" si="6"/>
        <v>20.317569028909233</v>
      </c>
      <c r="DI67" s="13">
        <f aca="true" t="shared" si="117" ref="DI67:DW67">AVERAGE(DI63:DI66)</f>
        <v>1.3607526494124431</v>
      </c>
      <c r="DJ67" s="24">
        <f t="shared" si="117"/>
        <v>-37.75</v>
      </c>
      <c r="DK67" s="13">
        <f t="shared" si="117"/>
        <v>36.27454430008433</v>
      </c>
      <c r="DL67" s="24">
        <f t="shared" si="117"/>
        <v>-56</v>
      </c>
      <c r="DM67" s="13">
        <f t="shared" si="117"/>
        <v>27.90287630906124</v>
      </c>
      <c r="DN67" s="21">
        <f t="shared" si="117"/>
        <v>-7.5665000000000004</v>
      </c>
      <c r="DO67" s="24">
        <f t="shared" si="117"/>
        <v>-17</v>
      </c>
      <c r="DP67" s="13">
        <f t="shared" si="117"/>
        <v>47.525262896003184</v>
      </c>
      <c r="DQ67" s="24">
        <f t="shared" si="117"/>
        <v>16.75</v>
      </c>
      <c r="DR67" s="13">
        <f t="shared" si="117"/>
        <v>73.62396905032782</v>
      </c>
      <c r="DS67" s="24">
        <f t="shared" si="117"/>
        <v>-31.5</v>
      </c>
      <c r="DT67" s="13">
        <f t="shared" si="117"/>
        <v>48.594330365654784</v>
      </c>
      <c r="DU67" s="13">
        <f t="shared" si="117"/>
        <v>20.443131363013737</v>
      </c>
      <c r="DV67" s="13">
        <f t="shared" si="117"/>
        <v>69.9248815021351</v>
      </c>
      <c r="DW67" s="13">
        <f t="shared" si="117"/>
        <v>7.88660846318208</v>
      </c>
      <c r="DX67" s="24">
        <f t="shared" si="7"/>
        <v>12.556522899831657</v>
      </c>
      <c r="DY67" s="13">
        <f aca="true" t="shared" si="118" ref="DY67:EM67">AVERAGE(DY63:DY66)</f>
        <v>1.7453786716690851</v>
      </c>
      <c r="DZ67" s="24">
        <f t="shared" si="118"/>
        <v>-29.75</v>
      </c>
      <c r="EA67" s="13">
        <f t="shared" si="118"/>
        <v>41.37138447084088</v>
      </c>
      <c r="EB67" s="24">
        <f t="shared" si="118"/>
        <v>-38.25</v>
      </c>
      <c r="EC67" s="13">
        <f t="shared" si="118"/>
        <v>38.08301456278102</v>
      </c>
      <c r="ED67" s="21">
        <f t="shared" si="118"/>
        <v>-5.75825</v>
      </c>
      <c r="EE67" s="24">
        <f t="shared" si="118"/>
        <v>-11.5</v>
      </c>
      <c r="EF67" s="13">
        <f t="shared" si="118"/>
        <v>48.18804107106905</v>
      </c>
      <c r="EG67" s="24">
        <f t="shared" si="118"/>
        <v>13.75</v>
      </c>
      <c r="EH67" s="13">
        <f t="shared" si="118"/>
        <v>78.96785450640895</v>
      </c>
      <c r="EI67" s="24">
        <f t="shared" si="118"/>
        <v>-20.25</v>
      </c>
      <c r="EJ67" s="13">
        <f t="shared" si="118"/>
        <v>50.54023219918126</v>
      </c>
      <c r="EK67" s="13">
        <f t="shared" si="118"/>
        <v>25.437890074491648</v>
      </c>
      <c r="EL67" s="13">
        <f t="shared" si="118"/>
        <v>66.42171666331119</v>
      </c>
      <c r="EM67" s="13">
        <f t="shared" si="118"/>
        <v>6.340178511509294</v>
      </c>
      <c r="EN67" s="24">
        <f t="shared" si="8"/>
        <v>19.097711562982354</v>
      </c>
      <c r="EO67" s="13">
        <f aca="true" t="shared" si="119" ref="EO67:FC67">AVERAGE(EO63:EO66)</f>
        <v>1.8002147506878732</v>
      </c>
      <c r="EP67" s="24">
        <f t="shared" si="119"/>
        <v>-37</v>
      </c>
      <c r="EQ67" s="13">
        <f t="shared" si="119"/>
        <v>33.4296920175886</v>
      </c>
      <c r="ER67" s="24">
        <f t="shared" si="119"/>
        <v>-40.75</v>
      </c>
      <c r="ES67" s="13">
        <f t="shared" si="119"/>
        <v>32.87885783510847</v>
      </c>
      <c r="ET67" s="21">
        <f t="shared" si="119"/>
        <v>-5.70975</v>
      </c>
      <c r="EU67" s="24">
        <f t="shared" si="119"/>
        <v>-11.5</v>
      </c>
      <c r="EV67" s="13">
        <f t="shared" si="119"/>
        <v>47.03829555120867</v>
      </c>
      <c r="EW67" s="24">
        <f t="shared" si="119"/>
        <v>10</v>
      </c>
      <c r="EX67" s="13">
        <f t="shared" si="119"/>
        <v>80.81028640476937</v>
      </c>
      <c r="EY67" s="24">
        <f t="shared" si="119"/>
        <v>-19.75</v>
      </c>
      <c r="EZ67" s="13">
        <f t="shared" si="119"/>
        <v>49.731058732892315</v>
      </c>
      <c r="FA67" s="13">
        <f t="shared" si="119"/>
        <v>27.83276869463483</v>
      </c>
      <c r="FB67" s="13">
        <f t="shared" si="119"/>
        <v>64.98316948562524</v>
      </c>
      <c r="FC67" s="13">
        <f t="shared" si="119"/>
        <v>5.575345961274111</v>
      </c>
      <c r="FD67" s="24">
        <f t="shared" si="9"/>
        <v>22.25742273336072</v>
      </c>
      <c r="FE67" s="13">
        <f aca="true" t="shared" si="120" ref="FE67:FU67">AVERAGE(FE63:FE66)</f>
        <v>1.6087158584658223</v>
      </c>
      <c r="FF67" s="24">
        <f t="shared" si="120"/>
        <v>-38.5</v>
      </c>
      <c r="FG67" s="13">
        <f t="shared" si="120"/>
        <v>34.95450656928715</v>
      </c>
      <c r="FH67" s="24">
        <f t="shared" si="120"/>
        <v>-49.75</v>
      </c>
      <c r="FI67" s="13">
        <f t="shared" si="120"/>
        <v>29.687585387964607</v>
      </c>
      <c r="FJ67" s="21">
        <f t="shared" si="120"/>
        <v>-7.612500000000001</v>
      </c>
      <c r="FK67" s="24">
        <f t="shared" si="120"/>
        <v>-16.75</v>
      </c>
      <c r="FL67" s="13">
        <f t="shared" si="120"/>
        <v>45.115706278170045</v>
      </c>
      <c r="FM67" s="24">
        <f t="shared" si="120"/>
        <v>11.25</v>
      </c>
      <c r="FN67" s="13">
        <f t="shared" si="120"/>
        <v>75.22424954353349</v>
      </c>
      <c r="FO67" s="24">
        <f t="shared" si="120"/>
        <v>-26.25</v>
      </c>
      <c r="FP67" s="13">
        <f t="shared" si="120"/>
        <v>47.7336278553097</v>
      </c>
      <c r="FQ67" s="13">
        <f t="shared" si="120"/>
        <v>25.71934013457782</v>
      </c>
      <c r="FR67" s="13">
        <f t="shared" si="120"/>
        <v>63.18096502764335</v>
      </c>
      <c r="FS67" s="13">
        <f t="shared" si="120"/>
        <v>8.323088905629541</v>
      </c>
      <c r="FT67" s="13">
        <f t="shared" si="120"/>
        <v>17.396251228948273</v>
      </c>
      <c r="FU67" s="13">
        <f t="shared" si="120"/>
        <v>2.7766059321492866</v>
      </c>
    </row>
    <row r="68" spans="1:177" ht="12">
      <c r="A68" s="1" t="s">
        <v>198</v>
      </c>
      <c r="B68" s="23">
        <f>4-65</f>
        <v>-61</v>
      </c>
      <c r="C68" s="8">
        <v>30.833694944673468</v>
      </c>
      <c r="D68" s="23">
        <f>14-51</f>
        <v>-37</v>
      </c>
      <c r="E68" s="8">
        <v>34.85842916033847</v>
      </c>
      <c r="F68" s="20">
        <v>-5.831</v>
      </c>
      <c r="G68" s="23">
        <f>26-25</f>
        <v>1</v>
      </c>
      <c r="H68" s="8">
        <v>49.614883922759816</v>
      </c>
      <c r="I68" s="23">
        <f>13-2</f>
        <v>11</v>
      </c>
      <c r="J68" s="8">
        <v>84.52484269906704</v>
      </c>
      <c r="K68" s="23">
        <f>7-26</f>
        <v>-19</v>
      </c>
      <c r="L68" s="8">
        <v>66.56812757648079</v>
      </c>
      <c r="M68" s="8">
        <v>22.456064222174007</v>
      </c>
      <c r="N68" s="8">
        <v>73.19646344109351</v>
      </c>
      <c r="O68" s="8">
        <v>4.2769581254068125</v>
      </c>
      <c r="P68" s="23">
        <f aca="true" t="shared" si="121" ref="P68:P77">M68-O68</f>
        <v>18.179106096767192</v>
      </c>
      <c r="Q68" s="8">
        <v>0.07051421132566717</v>
      </c>
      <c r="R68" s="23">
        <f>1-81</f>
        <v>-80</v>
      </c>
      <c r="S68" s="8">
        <v>17.694369973190348</v>
      </c>
      <c r="T68" s="23">
        <f>8-72</f>
        <v>-64</v>
      </c>
      <c r="U68" s="8">
        <v>20.130218307162007</v>
      </c>
      <c r="V68" s="20">
        <v>-10.686</v>
      </c>
      <c r="W68" s="23">
        <f>21-34</f>
        <v>-13</v>
      </c>
      <c r="X68" s="8">
        <v>44.31252393718882</v>
      </c>
      <c r="Y68" s="23">
        <f>13-5</f>
        <v>8</v>
      </c>
      <c r="Z68" s="8">
        <v>81.70815779394867</v>
      </c>
      <c r="AA68" s="23">
        <f>13-49</f>
        <v>-36</v>
      </c>
      <c r="AB68" s="8">
        <v>38.085024894676366</v>
      </c>
      <c r="AC68" s="8">
        <v>42.34392952891612</v>
      </c>
      <c r="AD68" s="8">
        <v>46.82497127537342</v>
      </c>
      <c r="AE68" s="8">
        <v>9.24549980850249</v>
      </c>
      <c r="AF68" s="23">
        <f aca="true" t="shared" si="122" ref="AF68:AF82">AC68-AE68</f>
        <v>33.098429720413634</v>
      </c>
      <c r="AG68" s="8">
        <v>1.5855993872079663</v>
      </c>
      <c r="AH68" s="23">
        <f>1-76</f>
        <v>-75</v>
      </c>
      <c r="AI68" s="8">
        <v>23.264057829985404</v>
      </c>
      <c r="AJ68" s="23">
        <f>12-65</f>
        <v>-53</v>
      </c>
      <c r="AK68" s="8">
        <v>22.94432473761034</v>
      </c>
      <c r="AL68" s="20">
        <v>-10.173</v>
      </c>
      <c r="AM68" s="23">
        <f>11-32</f>
        <v>-21</v>
      </c>
      <c r="AN68" s="8">
        <v>56.412038645999864</v>
      </c>
      <c r="AO68" s="23">
        <f>12-5</f>
        <v>7</v>
      </c>
      <c r="AP68" s="8">
        <v>82.30346840898034</v>
      </c>
      <c r="AQ68" s="23">
        <f>5-33</f>
        <v>-28</v>
      </c>
      <c r="AR68" s="8">
        <v>62.1116285535553</v>
      </c>
      <c r="AS68" s="8">
        <v>10.662403558768332</v>
      </c>
      <c r="AT68" s="8">
        <v>73.18412455689163</v>
      </c>
      <c r="AU68" s="8">
        <v>9.821366511433933</v>
      </c>
      <c r="AV68" s="23">
        <f aca="true" t="shared" si="123" ref="AV68:AV82">AS68-AU68</f>
        <v>0.8410370473343995</v>
      </c>
      <c r="AW68" s="8">
        <v>6.332105372906096</v>
      </c>
      <c r="AX68" s="23">
        <f>3-74</f>
        <v>-71</v>
      </c>
      <c r="AY68" s="8">
        <v>22.696558822213273</v>
      </c>
      <c r="AZ68" s="23">
        <f>9-66</f>
        <v>-57</v>
      </c>
      <c r="BA68" s="8">
        <v>25.032442833489952</v>
      </c>
      <c r="BB68" s="20">
        <v>-7.379</v>
      </c>
      <c r="BC68" s="23">
        <f>26-31</f>
        <v>-5</v>
      </c>
      <c r="BD68" s="8">
        <v>43.075133127489146</v>
      </c>
      <c r="BE68" s="23">
        <f>21-8</f>
        <v>13</v>
      </c>
      <c r="BF68" s="8">
        <v>70.45688459301024</v>
      </c>
      <c r="BG68" s="23">
        <f>18-43</f>
        <v>-25</v>
      </c>
      <c r="BH68" s="8">
        <v>38.86427708417237</v>
      </c>
      <c r="BI68" s="8">
        <v>17.026893990244776</v>
      </c>
      <c r="BJ68" s="8">
        <v>70.83277397413524</v>
      </c>
      <c r="BK68" s="8">
        <v>8.578332662102296</v>
      </c>
      <c r="BL68" s="23">
        <f aca="true" t="shared" si="124" ref="BL68:BL82">BI68-BK68</f>
        <v>8.44856132814248</v>
      </c>
      <c r="BM68" s="8">
        <v>3.5619993735176982</v>
      </c>
      <c r="BN68" s="23">
        <f>3-63</f>
        <v>-60</v>
      </c>
      <c r="BO68" s="8">
        <v>33.84999343228688</v>
      </c>
      <c r="BP68" s="23">
        <f>6-58</f>
        <v>-52</v>
      </c>
      <c r="BQ68" s="8">
        <v>36.47707868120321</v>
      </c>
      <c r="BR68" s="20">
        <v>-8.877</v>
      </c>
      <c r="BS68" s="23">
        <f>14-30</f>
        <v>-16</v>
      </c>
      <c r="BT68" s="8">
        <v>55.93721266255089</v>
      </c>
      <c r="BU68" s="23">
        <f>15-3</f>
        <v>12</v>
      </c>
      <c r="BV68" s="8">
        <v>81.5512938394851</v>
      </c>
      <c r="BW68" s="23">
        <f>9-33</f>
        <v>-24</v>
      </c>
      <c r="BX68" s="8">
        <v>58.64311046893471</v>
      </c>
      <c r="BY68" s="8">
        <v>16.110600288979377</v>
      </c>
      <c r="BZ68" s="8">
        <v>71.11519768816498</v>
      </c>
      <c r="CA68" s="8">
        <v>9.129121239984238</v>
      </c>
      <c r="CB68" s="23">
        <f aca="true" t="shared" si="125" ref="CB68:CB82">BY68-CA68</f>
        <v>6.981479048995139</v>
      </c>
      <c r="CC68" s="8">
        <v>3.6450807828714042</v>
      </c>
      <c r="CD68" s="23">
        <f>5-70</f>
        <v>-65</v>
      </c>
      <c r="CE68" s="8">
        <v>24.707462113945905</v>
      </c>
      <c r="CF68" s="23">
        <f>13-65</f>
        <v>-52</v>
      </c>
      <c r="CG68" s="8">
        <v>21.206598887396893</v>
      </c>
      <c r="CH68" s="20">
        <v>-7.07</v>
      </c>
      <c r="CI68" s="23">
        <f>19-24</f>
        <v>-5</v>
      </c>
      <c r="CJ68" s="8">
        <v>56.94417801649722</v>
      </c>
      <c r="CK68" s="23">
        <f>21-3</f>
        <v>18</v>
      </c>
      <c r="CL68" s="8">
        <v>75.60905428735852</v>
      </c>
      <c r="CM68" s="23">
        <f>12-36</f>
        <v>-24</v>
      </c>
      <c r="CN68" s="8">
        <v>52.45539996163438</v>
      </c>
      <c r="CO68" s="8">
        <v>12.113945904469595</v>
      </c>
      <c r="CP68" s="8">
        <v>82.69710339535776</v>
      </c>
      <c r="CQ68" s="8">
        <v>5.188950700172645</v>
      </c>
      <c r="CR68" s="23">
        <f aca="true" t="shared" si="126" ref="CR68:CR82">CO68-CQ68</f>
        <v>6.92499520429695</v>
      </c>
      <c r="CS68" s="8">
        <v>0</v>
      </c>
      <c r="CT68" s="23">
        <f>9-64</f>
        <v>-55</v>
      </c>
      <c r="CU68" s="8">
        <v>27.242320819112624</v>
      </c>
      <c r="CV68" s="23">
        <f>20-55</f>
        <v>-35</v>
      </c>
      <c r="CW68" s="8">
        <v>24.976109215017065</v>
      </c>
      <c r="CX68" s="20">
        <v>-7.038</v>
      </c>
      <c r="CY68" s="23">
        <f>31-22</f>
        <v>9</v>
      </c>
      <c r="CZ68" s="8">
        <v>47.7679180887372</v>
      </c>
      <c r="DA68" s="23">
        <f>8-5</f>
        <v>3</v>
      </c>
      <c r="DB68" s="8">
        <v>87.28327645051195</v>
      </c>
      <c r="DC68" s="23">
        <f>12-28</f>
        <v>-16</v>
      </c>
      <c r="DD68" s="8">
        <v>59.90443686006826</v>
      </c>
      <c r="DE68" s="8">
        <v>20.764505119453926</v>
      </c>
      <c r="DF68" s="8">
        <v>69.64505119453925</v>
      </c>
      <c r="DG68" s="8">
        <v>6.662116040955632</v>
      </c>
      <c r="DH68" s="23">
        <f aca="true" t="shared" si="127" ref="DH68:DH82">DE68-DG68</f>
        <v>14.102389078498295</v>
      </c>
      <c r="DI68" s="8">
        <v>2.9283276450511946</v>
      </c>
      <c r="DJ68" s="23">
        <f>4-66</f>
        <v>-62</v>
      </c>
      <c r="DK68" s="8">
        <v>29.88111132303389</v>
      </c>
      <c r="DL68" s="23">
        <f>10-65</f>
        <v>-55</v>
      </c>
      <c r="DM68" s="8">
        <v>24.814037764638567</v>
      </c>
      <c r="DN68" s="20">
        <v>-10.556</v>
      </c>
      <c r="DO68" s="23">
        <f>15-43</f>
        <v>-28</v>
      </c>
      <c r="DP68" s="8">
        <v>41.9797825672325</v>
      </c>
      <c r="DQ68" s="23">
        <f>19-6</f>
        <v>13</v>
      </c>
      <c r="DR68" s="8">
        <v>74.32767499523175</v>
      </c>
      <c r="DS68" s="23">
        <f>11-48</f>
        <v>-37</v>
      </c>
      <c r="DT68" s="8">
        <v>41.127853010363026</v>
      </c>
      <c r="DU68" s="8">
        <v>20.389090215525464</v>
      </c>
      <c r="DV68" s="8">
        <v>63.44332125373514</v>
      </c>
      <c r="DW68" s="8">
        <v>14.292071968974508</v>
      </c>
      <c r="DX68" s="23">
        <f aca="true" t="shared" si="128" ref="DX68:DX82">DU68-DW68</f>
        <v>6.097018246550956</v>
      </c>
      <c r="DY68" s="8">
        <v>1.875516561764893</v>
      </c>
      <c r="DZ68" s="23">
        <f>13-62</f>
        <v>-49</v>
      </c>
      <c r="EA68" s="8">
        <v>25.015256926644696</v>
      </c>
      <c r="EB68" s="23">
        <f>8-54</f>
        <v>-46</v>
      </c>
      <c r="EC68" s="8">
        <v>38.63053826437203</v>
      </c>
      <c r="ED68" s="20">
        <v>-7.238</v>
      </c>
      <c r="EE68" s="23">
        <f>16-26</f>
        <v>-10</v>
      </c>
      <c r="EF68" s="8">
        <v>58.0434517270841</v>
      </c>
      <c r="EG68" s="23">
        <f>8-11</f>
        <v>-3</v>
      </c>
      <c r="EH68" s="8">
        <v>81.20346637373368</v>
      </c>
      <c r="EI68" s="23">
        <f>10-26</f>
        <v>-16</v>
      </c>
      <c r="EJ68" s="8">
        <v>63.7373367508849</v>
      </c>
      <c r="EK68" s="8">
        <v>9.947516172342244</v>
      </c>
      <c r="EL68" s="8">
        <v>82.07005980715245</v>
      </c>
      <c r="EM68" s="8">
        <v>5.712193335774442</v>
      </c>
      <c r="EN68" s="23">
        <f aca="true" t="shared" si="129" ref="EN68:EN82">EK68-EM68</f>
        <v>4.235322836567802</v>
      </c>
      <c r="EO68" s="8">
        <v>2.2702306847308678</v>
      </c>
      <c r="EP68" s="23">
        <f>5-68</f>
        <v>-63</v>
      </c>
      <c r="EQ68" s="8">
        <v>26.790631011202056</v>
      </c>
      <c r="ER68" s="23">
        <f>11-60</f>
        <v>-49</v>
      </c>
      <c r="ES68" s="8">
        <v>28.937376632846778</v>
      </c>
      <c r="ET68" s="20">
        <v>-7.936</v>
      </c>
      <c r="EU68" s="23">
        <f>21-29</f>
        <v>-8</v>
      </c>
      <c r="EV68" s="8">
        <v>49.90444938960761</v>
      </c>
      <c r="EW68" s="23">
        <f>15-5</f>
        <v>10</v>
      </c>
      <c r="EX68" s="8">
        <v>80.15124655829216</v>
      </c>
      <c r="EY68" s="23">
        <f>11-35</f>
        <v>-24</v>
      </c>
      <c r="EZ68" s="8">
        <v>54.83159204918342</v>
      </c>
      <c r="FA68" s="8">
        <v>19.325110951860093</v>
      </c>
      <c r="FB68" s="8">
        <v>70.74516903657326</v>
      </c>
      <c r="FC68" s="8">
        <v>7.67233684104653</v>
      </c>
      <c r="FD68" s="23">
        <f aca="true" t="shared" si="130" ref="FD68:FD82">FA68-FC68</f>
        <v>11.652774110813564</v>
      </c>
      <c r="FE68" s="8">
        <v>2.2573831705201224</v>
      </c>
      <c r="FF68" s="23">
        <f>5-65</f>
        <v>-60</v>
      </c>
      <c r="FG68" s="8">
        <v>30.226777567798546</v>
      </c>
      <c r="FH68" s="23">
        <f>7-65</f>
        <v>-58</v>
      </c>
      <c r="FI68" s="8">
        <v>28.675853077913814</v>
      </c>
      <c r="FJ68" s="20">
        <v>-10.344</v>
      </c>
      <c r="FK68" s="23">
        <f>17-32</f>
        <v>-15</v>
      </c>
      <c r="FL68" s="8">
        <v>51.04009162954479</v>
      </c>
      <c r="FM68" s="23">
        <f>19-8</f>
        <v>11</v>
      </c>
      <c r="FN68" s="8">
        <v>72.93210839619593</v>
      </c>
      <c r="FO68" s="23">
        <f>9-35</f>
        <v>-26</v>
      </c>
      <c r="FP68" s="8">
        <v>55.91286489549546</v>
      </c>
      <c r="FQ68" s="8">
        <v>18.508918047298103</v>
      </c>
      <c r="FR68" s="8">
        <v>68.20956647262364</v>
      </c>
      <c r="FS68" s="8">
        <v>9.97971298174724</v>
      </c>
      <c r="FT68" s="112">
        <f>FQ68-FS68</f>
        <v>8.529205065550864</v>
      </c>
      <c r="FU68" s="23">
        <v>3.3018024983310204</v>
      </c>
    </row>
    <row r="69" spans="1:177" ht="12">
      <c r="A69" s="1" t="s">
        <v>36</v>
      </c>
      <c r="B69" s="23">
        <f>13-42</f>
        <v>-29</v>
      </c>
      <c r="C69" s="8">
        <v>44.887719678889134</v>
      </c>
      <c r="D69" s="23">
        <f>8-38</f>
        <v>-30</v>
      </c>
      <c r="E69" s="8">
        <v>54.26339770015187</v>
      </c>
      <c r="F69" s="20">
        <v>-4.16</v>
      </c>
      <c r="G69" s="23">
        <f>16-22</f>
        <v>-6</v>
      </c>
      <c r="H69" s="8">
        <v>62.54339336081579</v>
      </c>
      <c r="I69" s="23">
        <f>8-3</f>
        <v>5</v>
      </c>
      <c r="J69" s="8">
        <v>89.0892818398785</v>
      </c>
      <c r="K69" s="23">
        <f>8-22</f>
        <v>-14</v>
      </c>
      <c r="L69" s="8">
        <v>70.82067693642873</v>
      </c>
      <c r="M69" s="8">
        <v>36.96571924495552</v>
      </c>
      <c r="N69" s="8">
        <v>59.92351920156216</v>
      </c>
      <c r="O69" s="8">
        <v>1.9418528965068345</v>
      </c>
      <c r="P69" s="23">
        <f t="shared" si="121"/>
        <v>35.023866348448685</v>
      </c>
      <c r="Q69" s="8">
        <v>1.1689086569754827</v>
      </c>
      <c r="R69" s="23">
        <f>16-52</f>
        <v>-36</v>
      </c>
      <c r="S69" s="8">
        <v>31.214094216775184</v>
      </c>
      <c r="T69" s="23">
        <f>14-64</f>
        <v>-50</v>
      </c>
      <c r="U69" s="8">
        <v>22.091152815013405</v>
      </c>
      <c r="V69" s="20">
        <v>-8.225</v>
      </c>
      <c r="W69" s="23">
        <f>13-33</f>
        <v>-20</v>
      </c>
      <c r="X69" s="8">
        <v>54.33933358866335</v>
      </c>
      <c r="Y69" s="23">
        <f>21-1</f>
        <v>20</v>
      </c>
      <c r="Z69" s="8">
        <v>77.70968977403294</v>
      </c>
      <c r="AA69" s="23">
        <f>6-39</f>
        <v>-33</v>
      </c>
      <c r="AB69" s="8">
        <v>55.2355419379548</v>
      </c>
      <c r="AC69" s="8">
        <v>37.35733435465339</v>
      </c>
      <c r="AD69" s="8">
        <v>59.04251244733818</v>
      </c>
      <c r="AE69" s="8">
        <v>1.6315587897357333</v>
      </c>
      <c r="AF69" s="23">
        <f t="shared" si="122"/>
        <v>35.725775564917654</v>
      </c>
      <c r="AG69" s="8">
        <v>1.9685944082726923</v>
      </c>
      <c r="AH69" s="23">
        <f>8-47</f>
        <v>-39</v>
      </c>
      <c r="AI69" s="8">
        <v>45.39514839785918</v>
      </c>
      <c r="AJ69" s="23">
        <f>4-43</f>
        <v>-39</v>
      </c>
      <c r="AK69" s="8">
        <v>52.90192534927365</v>
      </c>
      <c r="AL69" s="20">
        <v>-5.426</v>
      </c>
      <c r="AM69" s="23">
        <f>13-38</f>
        <v>-25</v>
      </c>
      <c r="AN69" s="8">
        <v>49.760200180718705</v>
      </c>
      <c r="AO69" s="23">
        <f>13-2</f>
        <v>11</v>
      </c>
      <c r="AP69" s="8">
        <v>85.06290401056509</v>
      </c>
      <c r="AQ69" s="23">
        <f>8-39</f>
        <v>-31</v>
      </c>
      <c r="AR69" s="8">
        <v>52.9436296656704</v>
      </c>
      <c r="AS69" s="8">
        <v>22.56203517064016</v>
      </c>
      <c r="AT69" s="8">
        <v>72.04420657538056</v>
      </c>
      <c r="AU69" s="8">
        <v>5.3937582539792865</v>
      </c>
      <c r="AV69" s="23">
        <f t="shared" si="123"/>
        <v>17.168276916660876</v>
      </c>
      <c r="AW69" s="8">
        <v>0</v>
      </c>
      <c r="AX69" s="23">
        <f>27-37</f>
        <v>-10</v>
      </c>
      <c r="AY69" s="8">
        <v>35.781089184230545</v>
      </c>
      <c r="AZ69" s="23">
        <f>16-50</f>
        <v>-34</v>
      </c>
      <c r="BA69" s="8">
        <v>34.16118494652526</v>
      </c>
      <c r="BB69" s="20">
        <v>-3.49</v>
      </c>
      <c r="BC69" s="23">
        <f>14-38</f>
        <v>-24</v>
      </c>
      <c r="BD69" s="8">
        <v>47.80507450664519</v>
      </c>
      <c r="BE69" s="23">
        <f>8-6</f>
        <v>2</v>
      </c>
      <c r="BF69" s="8">
        <v>86.0876180247908</v>
      </c>
      <c r="BG69" s="23">
        <f>15-33</f>
        <v>-18</v>
      </c>
      <c r="BH69" s="8">
        <v>52.13675213675214</v>
      </c>
      <c r="BI69" s="8">
        <v>23.640757148610554</v>
      </c>
      <c r="BJ69" s="8">
        <v>67.95095538551035</v>
      </c>
      <c r="BK69" s="8">
        <v>8.408287465879088</v>
      </c>
      <c r="BL69" s="23">
        <f t="shared" si="124"/>
        <v>15.232469682731466</v>
      </c>
      <c r="BM69" s="8">
        <v>0</v>
      </c>
      <c r="BN69" s="23">
        <f>6-40</f>
        <v>-34</v>
      </c>
      <c r="BO69" s="8">
        <v>53.934060160252194</v>
      </c>
      <c r="BP69" s="23">
        <f>6-51</f>
        <v>-45</v>
      </c>
      <c r="BQ69" s="8">
        <v>43.33377118087482</v>
      </c>
      <c r="BR69" s="20">
        <v>-5.37</v>
      </c>
      <c r="BS69" s="23">
        <f>16-32</f>
        <v>-16</v>
      </c>
      <c r="BT69" s="8">
        <v>52.410350715880725</v>
      </c>
      <c r="BU69" s="23">
        <f>12-3</f>
        <v>9</v>
      </c>
      <c r="BV69" s="8">
        <v>85.09785892552213</v>
      </c>
      <c r="BW69" s="23">
        <f>8-37</f>
        <v>-29</v>
      </c>
      <c r="BX69" s="8">
        <v>55.51687902272428</v>
      </c>
      <c r="BY69" s="8">
        <v>20.983843425719165</v>
      </c>
      <c r="BZ69" s="8">
        <v>69.25653487455668</v>
      </c>
      <c r="CA69" s="8">
        <v>9.759621699724157</v>
      </c>
      <c r="CB69" s="23">
        <f t="shared" si="125"/>
        <v>11.224221725995008</v>
      </c>
      <c r="CC69" s="8">
        <v>0</v>
      </c>
      <c r="CD69" s="23">
        <f>12-40</f>
        <v>-28</v>
      </c>
      <c r="CE69" s="8">
        <v>48.89698829848456</v>
      </c>
      <c r="CF69" s="23">
        <f>4-48</f>
        <v>-44</v>
      </c>
      <c r="CG69" s="8">
        <v>48.13926721657395</v>
      </c>
      <c r="CH69" s="20">
        <v>-3.125</v>
      </c>
      <c r="CI69" s="23">
        <f>31-16</f>
        <v>15</v>
      </c>
      <c r="CJ69" s="8">
        <v>53.7502397851525</v>
      </c>
      <c r="CK69" s="23">
        <f>11-0</f>
        <v>11</v>
      </c>
      <c r="CL69" s="8">
        <v>89.00824860924611</v>
      </c>
      <c r="CM69" s="23">
        <f>23-14</f>
        <v>9</v>
      </c>
      <c r="CN69" s="8">
        <v>63.18818338768464</v>
      </c>
      <c r="CO69" s="8">
        <v>32.38058699405333</v>
      </c>
      <c r="CP69" s="8">
        <v>64.45424899290236</v>
      </c>
      <c r="CQ69" s="8">
        <v>3.165164013044312</v>
      </c>
      <c r="CR69" s="23">
        <f t="shared" si="126"/>
        <v>29.21542298100902</v>
      </c>
      <c r="CS69" s="8">
        <v>0</v>
      </c>
      <c r="CT69" s="23">
        <f>20-38</f>
        <v>-18</v>
      </c>
      <c r="CU69" s="8">
        <v>41.8839590443686</v>
      </c>
      <c r="CV69" s="23">
        <f>6-48</f>
        <v>-42</v>
      </c>
      <c r="CW69" s="8">
        <v>46.839590443686006</v>
      </c>
      <c r="CX69" s="20">
        <v>-5.15</v>
      </c>
      <c r="CY69" s="23">
        <f>19-32</f>
        <v>-13</v>
      </c>
      <c r="CZ69" s="8">
        <v>48.334470989761094</v>
      </c>
      <c r="DA69" s="23">
        <f>17-5</f>
        <v>12</v>
      </c>
      <c r="DB69" s="8">
        <v>77.70648464163823</v>
      </c>
      <c r="DC69" s="23">
        <f>14-44</f>
        <v>-30</v>
      </c>
      <c r="DD69" s="8">
        <v>42.00682593856656</v>
      </c>
      <c r="DE69" s="8">
        <v>18.607508532423207</v>
      </c>
      <c r="DF69" s="8">
        <v>67.72696245733788</v>
      </c>
      <c r="DG69" s="8">
        <v>11.863481228668942</v>
      </c>
      <c r="DH69" s="23">
        <f t="shared" si="127"/>
        <v>6.744027303754265</v>
      </c>
      <c r="DI69" s="8">
        <v>1.8020477815699658</v>
      </c>
      <c r="DJ69" s="23">
        <f>13-57</f>
        <v>-44</v>
      </c>
      <c r="DK69" s="8">
        <v>30.561383431877427</v>
      </c>
      <c r="DL69" s="23">
        <f>5-57</f>
        <v>-52</v>
      </c>
      <c r="DM69" s="8">
        <v>37.07165109034268</v>
      </c>
      <c r="DN69" s="20">
        <v>-4.735</v>
      </c>
      <c r="DO69" s="23">
        <f>14-31</f>
        <v>-17</v>
      </c>
      <c r="DP69" s="8">
        <v>54.75872592027466</v>
      </c>
      <c r="DQ69" s="23">
        <f>19-2</f>
        <v>17</v>
      </c>
      <c r="DR69" s="8">
        <v>78.75262254434485</v>
      </c>
      <c r="DS69" s="23">
        <f>8-36</f>
        <v>-28</v>
      </c>
      <c r="DT69" s="8">
        <v>56.19556233708437</v>
      </c>
      <c r="DU69" s="8">
        <v>21.34910038781868</v>
      </c>
      <c r="DV69" s="8">
        <v>72.74461186343696</v>
      </c>
      <c r="DW69" s="8">
        <v>3.8146099561319855</v>
      </c>
      <c r="DX69" s="23">
        <f t="shared" si="128"/>
        <v>17.534490431686695</v>
      </c>
      <c r="DY69" s="8">
        <v>2.091677792612372</v>
      </c>
      <c r="DZ69" s="23">
        <f>10-43</f>
        <v>-33</v>
      </c>
      <c r="EA69" s="8">
        <v>47.26595874527035</v>
      </c>
      <c r="EB69" s="23">
        <f>2-41</f>
        <v>-39</v>
      </c>
      <c r="EC69" s="8">
        <v>57.20737214695472</v>
      </c>
      <c r="ED69" s="20">
        <v>-5.246</v>
      </c>
      <c r="EE69" s="23">
        <f>20-22</f>
        <v>-2</v>
      </c>
      <c r="EF69" s="8">
        <v>57.82375198340046</v>
      </c>
      <c r="EG69" s="23">
        <f>10-0</f>
        <v>10</v>
      </c>
      <c r="EH69" s="8">
        <v>89.0943488343708</v>
      </c>
      <c r="EI69" s="23">
        <f>16-22</f>
        <v>-6</v>
      </c>
      <c r="EJ69" s="8">
        <v>61.93091663615281</v>
      </c>
      <c r="EK69" s="8">
        <v>13.1941901623337</v>
      </c>
      <c r="EL69" s="8">
        <v>79.83034297571098</v>
      </c>
      <c r="EM69" s="8">
        <v>6.9754668619553275</v>
      </c>
      <c r="EN69" s="23">
        <f t="shared" si="129"/>
        <v>6.218723300378372</v>
      </c>
      <c r="EO69" s="8">
        <v>0</v>
      </c>
      <c r="EP69" s="23">
        <f>14-43</f>
        <v>-29</v>
      </c>
      <c r="EQ69" s="8">
        <v>42.21262525302053</v>
      </c>
      <c r="ER69" s="23">
        <f>8-47</f>
        <v>-39</v>
      </c>
      <c r="ES69" s="8">
        <v>45.14829203283924</v>
      </c>
      <c r="ET69" s="20">
        <v>-4.822</v>
      </c>
      <c r="EU69" s="23">
        <f>17-29</f>
        <v>-12</v>
      </c>
      <c r="EV69" s="8">
        <v>54.532996391707215</v>
      </c>
      <c r="EW69" s="23">
        <f>12-3</f>
        <v>9</v>
      </c>
      <c r="EX69" s="8">
        <v>84.91243289455487</v>
      </c>
      <c r="EY69" s="23">
        <f>11-31</f>
        <v>-20</v>
      </c>
      <c r="EZ69" s="8">
        <v>58.31981795094231</v>
      </c>
      <c r="FA69" s="8">
        <v>26.30973484705616</v>
      </c>
      <c r="FB69" s="8">
        <v>67.30220395026339</v>
      </c>
      <c r="FC69" s="8">
        <v>5.582795861149876</v>
      </c>
      <c r="FD69" s="23">
        <f t="shared" si="130"/>
        <v>20.726938985906283</v>
      </c>
      <c r="FE69" s="8">
        <v>0.80526534153057</v>
      </c>
      <c r="FF69" s="24">
        <f>13-42</f>
        <v>-29</v>
      </c>
      <c r="FG69" s="8">
        <v>44.1129221176647</v>
      </c>
      <c r="FH69" s="24">
        <f>7-49</f>
        <v>-42</v>
      </c>
      <c r="FI69" s="8">
        <v>43.225098865649194</v>
      </c>
      <c r="FJ69" s="20">
        <v>-7.586</v>
      </c>
      <c r="FK69" s="24">
        <f>14-31</f>
        <v>-17</v>
      </c>
      <c r="FL69" s="10">
        <v>55.31105989716676</v>
      </c>
      <c r="FM69" s="24">
        <f>18-5</f>
        <v>13</v>
      </c>
      <c r="FN69" s="10">
        <v>77.37335428393122</v>
      </c>
      <c r="FO69" s="24">
        <f>10-35</f>
        <v>-25</v>
      </c>
      <c r="FP69" s="8">
        <v>55.38170797990002</v>
      </c>
      <c r="FQ69" s="8">
        <v>21.287248808102955</v>
      </c>
      <c r="FR69" s="8">
        <v>69.23326922845442</v>
      </c>
      <c r="FS69" s="8">
        <v>8.405408883880664</v>
      </c>
      <c r="FT69" s="112">
        <f>FQ69-FS69</f>
        <v>12.881839924222291</v>
      </c>
      <c r="FU69" s="23">
        <v>1.0740730795619633</v>
      </c>
    </row>
    <row r="70" spans="1:177" ht="12">
      <c r="A70" s="1" t="s">
        <v>32</v>
      </c>
      <c r="B70" s="23">
        <f>16-56</f>
        <v>-40</v>
      </c>
      <c r="C70" s="8">
        <v>28.211108700368843</v>
      </c>
      <c r="D70" s="23">
        <f>16-47</f>
        <v>-31</v>
      </c>
      <c r="E70" s="8">
        <v>37.02809720112823</v>
      </c>
      <c r="F70" s="20">
        <v>-6.052</v>
      </c>
      <c r="G70" s="23">
        <f>34-25</f>
        <v>9</v>
      </c>
      <c r="H70" s="8">
        <v>40.68669993490996</v>
      </c>
      <c r="I70" s="23">
        <f>14-6</f>
        <v>8</v>
      </c>
      <c r="J70" s="8">
        <v>80.12041657626384</v>
      </c>
      <c r="K70" s="23">
        <f>27-27</f>
        <v>0</v>
      </c>
      <c r="L70" s="8">
        <v>45.853221957040574</v>
      </c>
      <c r="M70" s="8">
        <v>35.371013234975045</v>
      </c>
      <c r="N70" s="8">
        <v>50.51800824473855</v>
      </c>
      <c r="O70" s="8">
        <v>10.661206335430679</v>
      </c>
      <c r="P70" s="23">
        <f t="shared" si="121"/>
        <v>24.70980689954437</v>
      </c>
      <c r="Q70" s="8">
        <v>3.4497721848557172</v>
      </c>
      <c r="R70" s="23">
        <f>14-59</f>
        <v>-45</v>
      </c>
      <c r="S70" s="8">
        <v>26.916890080428956</v>
      </c>
      <c r="T70" s="23">
        <f>14-58</f>
        <v>-44</v>
      </c>
      <c r="U70" s="8">
        <v>28.816545384909997</v>
      </c>
      <c r="V70" s="20">
        <v>-7.657</v>
      </c>
      <c r="W70" s="23">
        <f>19-10</f>
        <v>9</v>
      </c>
      <c r="X70" s="8">
        <v>70.96131750287246</v>
      </c>
      <c r="Y70" s="23">
        <f>20-6</f>
        <v>14</v>
      </c>
      <c r="Z70" s="8">
        <v>74.34699348908464</v>
      </c>
      <c r="AA70" s="23">
        <f>11-10</f>
        <v>1</v>
      </c>
      <c r="AB70" s="8">
        <v>78.8893144389123</v>
      </c>
      <c r="AC70" s="8">
        <v>31.673688242052854</v>
      </c>
      <c r="AD70" s="8">
        <v>62.21371122175412</v>
      </c>
      <c r="AE70" s="8">
        <v>6.112600536193029</v>
      </c>
      <c r="AF70" s="23">
        <f t="shared" si="122"/>
        <v>25.561087705859826</v>
      </c>
      <c r="AG70" s="8">
        <v>0</v>
      </c>
      <c r="AH70" s="23">
        <f>21-41</f>
        <v>-20</v>
      </c>
      <c r="AI70" s="8">
        <v>38.249808855216514</v>
      </c>
      <c r="AJ70" s="23">
        <f>20-40</f>
        <v>-20</v>
      </c>
      <c r="AK70" s="8">
        <v>40.446236185445194</v>
      </c>
      <c r="AL70" s="20">
        <v>-3.285</v>
      </c>
      <c r="AM70" s="23">
        <f>44-18</f>
        <v>26</v>
      </c>
      <c r="AN70" s="8">
        <v>37.54083547647181</v>
      </c>
      <c r="AO70" s="23">
        <f>20-4</f>
        <v>16</v>
      </c>
      <c r="AP70" s="8">
        <v>76.06172238826719</v>
      </c>
      <c r="AQ70" s="23">
        <f>32-23</f>
        <v>9</v>
      </c>
      <c r="AR70" s="8">
        <v>45.04066170848683</v>
      </c>
      <c r="AS70" s="8">
        <v>29.401543059706682</v>
      </c>
      <c r="AT70" s="8">
        <v>62.18808646694933</v>
      </c>
      <c r="AU70" s="8">
        <v>7.67359421700146</v>
      </c>
      <c r="AV70" s="23">
        <f t="shared" si="123"/>
        <v>21.727948842705224</v>
      </c>
      <c r="AW70" s="8">
        <v>0.7367762563425314</v>
      </c>
      <c r="AX70" s="23">
        <f>13-52</f>
        <v>-39</v>
      </c>
      <c r="AY70" s="8">
        <v>34.859265225757376</v>
      </c>
      <c r="AZ70" s="23">
        <f>15-55</f>
        <v>-40</v>
      </c>
      <c r="BA70" s="8">
        <v>30.639459435270954</v>
      </c>
      <c r="BB70" s="20">
        <v>-4.881</v>
      </c>
      <c r="BC70" s="23">
        <f>34-19</f>
        <v>15</v>
      </c>
      <c r="BD70" s="8">
        <v>47.089094733073786</v>
      </c>
      <c r="BE70" s="23">
        <f>10-3</f>
        <v>7</v>
      </c>
      <c r="BF70" s="8">
        <v>86.6156531077997</v>
      </c>
      <c r="BG70" s="23">
        <f>26-22</f>
        <v>4</v>
      </c>
      <c r="BH70" s="8">
        <v>52.71401082919408</v>
      </c>
      <c r="BI70" s="8">
        <v>26.24960844856133</v>
      </c>
      <c r="BJ70" s="8">
        <v>65.59717187989439</v>
      </c>
      <c r="BK70" s="8">
        <v>6.9136796885487986</v>
      </c>
      <c r="BL70" s="23">
        <f t="shared" si="124"/>
        <v>19.33592876001253</v>
      </c>
      <c r="BM70" s="8">
        <v>1.2395399829954805</v>
      </c>
      <c r="BN70" s="23">
        <f>20-50</f>
        <v>-30</v>
      </c>
      <c r="BO70" s="8">
        <v>30.507027453040852</v>
      </c>
      <c r="BP70" s="23">
        <f>7-58</f>
        <v>-51</v>
      </c>
      <c r="BQ70" s="8">
        <v>34.61184815447261</v>
      </c>
      <c r="BR70" s="20">
        <v>-7.43</v>
      </c>
      <c r="BS70" s="23">
        <f>45-19</f>
        <v>26</v>
      </c>
      <c r="BT70" s="8">
        <v>35.63641140154998</v>
      </c>
      <c r="BU70" s="23">
        <f>14-9</f>
        <v>5</v>
      </c>
      <c r="BV70" s="8">
        <v>76.80940496519112</v>
      </c>
      <c r="BW70" s="23">
        <f>33-24</f>
        <v>9</v>
      </c>
      <c r="BX70" s="8">
        <v>42.8477604098253</v>
      </c>
      <c r="BY70" s="8">
        <v>27.663207671088923</v>
      </c>
      <c r="BZ70" s="8">
        <v>61.014054906081704</v>
      </c>
      <c r="CA70" s="8">
        <v>9.746486273479574</v>
      </c>
      <c r="CB70" s="23">
        <f t="shared" si="125"/>
        <v>17.91672139760935</v>
      </c>
      <c r="CC70" s="8">
        <v>1.5762511493497964</v>
      </c>
      <c r="CD70" s="23">
        <f>23-47</f>
        <v>-24</v>
      </c>
      <c r="CE70" s="8">
        <v>29.69499328601573</v>
      </c>
      <c r="CF70" s="23">
        <f>10-56</f>
        <v>-46</v>
      </c>
      <c r="CG70" s="8">
        <v>33.51237291386917</v>
      </c>
      <c r="CH70" s="20">
        <v>-3.733</v>
      </c>
      <c r="CI70" s="23">
        <f>35-20</f>
        <v>15</v>
      </c>
      <c r="CJ70" s="8">
        <v>44.475350086322656</v>
      </c>
      <c r="CK70" s="23">
        <f>15-1</f>
        <v>14</v>
      </c>
      <c r="CL70" s="8">
        <v>83.73297525417226</v>
      </c>
      <c r="CM70" s="23">
        <f>24-28</f>
        <v>-4</v>
      </c>
      <c r="CN70" s="8">
        <v>47.22808363706119</v>
      </c>
      <c r="CO70" s="8">
        <v>35.98695568770382</v>
      </c>
      <c r="CP70" s="8">
        <v>56.4646077114905</v>
      </c>
      <c r="CQ70" s="8">
        <v>7.174371762900441</v>
      </c>
      <c r="CR70" s="23">
        <f t="shared" si="126"/>
        <v>28.812583924803377</v>
      </c>
      <c r="CS70" s="8">
        <v>0.3740648379052369</v>
      </c>
      <c r="CT70" s="23">
        <f>15-52</f>
        <v>-37</v>
      </c>
      <c r="CU70" s="8">
        <v>32.580204778157</v>
      </c>
      <c r="CV70" s="23">
        <f>11-59</f>
        <v>-48</v>
      </c>
      <c r="CW70" s="8">
        <v>30.3481228668942</v>
      </c>
      <c r="CX70" s="20">
        <v>-5.014</v>
      </c>
      <c r="CY70" s="23">
        <f>38-30</f>
        <v>8</v>
      </c>
      <c r="CZ70" s="8">
        <v>32.10921501706485</v>
      </c>
      <c r="DA70" s="23">
        <f>10-9</f>
        <v>1</v>
      </c>
      <c r="DB70" s="8">
        <v>80.2047781569966</v>
      </c>
      <c r="DC70" s="23">
        <f>31-32</f>
        <v>-1</v>
      </c>
      <c r="DD70" s="8">
        <v>37.2901023890785</v>
      </c>
      <c r="DE70" s="8">
        <v>37.877133105802045</v>
      </c>
      <c r="DF70" s="8">
        <v>59.11945392491468</v>
      </c>
      <c r="DG70" s="8">
        <v>1.3924914675767917</v>
      </c>
      <c r="DH70" s="23">
        <f t="shared" si="127"/>
        <v>36.484641638225256</v>
      </c>
      <c r="DI70" s="8">
        <v>1.6109215017064846</v>
      </c>
      <c r="DJ70" s="23">
        <f>19-55</f>
        <v>-36</v>
      </c>
      <c r="DK70" s="8">
        <v>25.72954415411024</v>
      </c>
      <c r="DL70" s="23">
        <f>11-64</f>
        <v>-53</v>
      </c>
      <c r="DM70" s="8">
        <v>24.960264479623625</v>
      </c>
      <c r="DN70" s="20">
        <v>-7.092</v>
      </c>
      <c r="DO70" s="23">
        <f>32-22</f>
        <v>10</v>
      </c>
      <c r="DP70" s="8">
        <v>46.11227668637549</v>
      </c>
      <c r="DQ70" s="23">
        <f>21-5</f>
        <v>16</v>
      </c>
      <c r="DR70" s="8">
        <v>74.74728209040626</v>
      </c>
      <c r="DS70" s="23">
        <f>31-25</f>
        <v>6</v>
      </c>
      <c r="DT70" s="8">
        <v>43.65185326467035</v>
      </c>
      <c r="DU70" s="8">
        <v>20.611609129633162</v>
      </c>
      <c r="DV70" s="8">
        <v>65.28069171593872</v>
      </c>
      <c r="DW70" s="8">
        <v>12.753512620001272</v>
      </c>
      <c r="DX70" s="23">
        <f t="shared" si="128"/>
        <v>7.85809650963189</v>
      </c>
      <c r="DY70" s="8">
        <v>1.3541865344268549</v>
      </c>
      <c r="DZ70" s="23">
        <f>22-50</f>
        <v>-28</v>
      </c>
      <c r="EA70" s="8">
        <v>28.69522763334554</v>
      </c>
      <c r="EB70" s="23">
        <f>11-51</f>
        <v>-40</v>
      </c>
      <c r="EC70" s="8">
        <v>38.34981081410961</v>
      </c>
      <c r="ED70" s="20">
        <v>-5.759</v>
      </c>
      <c r="EE70" s="23">
        <f>23-32</f>
        <v>-9</v>
      </c>
      <c r="EF70" s="8">
        <v>44.37934822409374</v>
      </c>
      <c r="EG70" s="23">
        <f>12-9</f>
        <v>3</v>
      </c>
      <c r="EH70" s="8">
        <v>78.78676919321373</v>
      </c>
      <c r="EI70" s="23">
        <f>25-39</f>
        <v>-14</v>
      </c>
      <c r="EJ70" s="8">
        <v>36.01855242279995</v>
      </c>
      <c r="EK70" s="8">
        <v>24.844379348224095</v>
      </c>
      <c r="EL70" s="8">
        <v>69.58379104113267</v>
      </c>
      <c r="EM70" s="8">
        <v>5.571829610643232</v>
      </c>
      <c r="EN70" s="23">
        <f t="shared" si="129"/>
        <v>19.272549737580864</v>
      </c>
      <c r="EO70" s="8">
        <v>0</v>
      </c>
      <c r="EP70" s="23">
        <f>18-52</f>
        <v>-34</v>
      </c>
      <c r="EQ70" s="8">
        <v>30.4705867561825</v>
      </c>
      <c r="ER70" s="23">
        <f>13-53</f>
        <v>-40</v>
      </c>
      <c r="ES70" s="8">
        <v>33.63192899080954</v>
      </c>
      <c r="ET70" s="20">
        <v>-5.726</v>
      </c>
      <c r="EU70" s="23">
        <f>34-22</f>
        <v>12</v>
      </c>
      <c r="EV70" s="8">
        <v>43.677944153182715</v>
      </c>
      <c r="EW70" s="23">
        <f>15-6</f>
        <v>9</v>
      </c>
      <c r="EX70" s="8">
        <v>79.45096116370586</v>
      </c>
      <c r="EY70" s="23">
        <f>27-26</f>
        <v>1</v>
      </c>
      <c r="EZ70" s="8">
        <v>47.23783301273589</v>
      </c>
      <c r="FA70" s="8">
        <v>30.23611058725908</v>
      </c>
      <c r="FB70" s="8">
        <v>60.26163265819283</v>
      </c>
      <c r="FC70" s="8">
        <v>8.004249487672714</v>
      </c>
      <c r="FD70" s="23">
        <f t="shared" si="130"/>
        <v>22.231861099586368</v>
      </c>
      <c r="FE70" s="8">
        <v>1.4980072668753694</v>
      </c>
      <c r="FF70" s="23">
        <f>17-44</f>
        <v>-27</v>
      </c>
      <c r="FG70" s="8">
        <v>38.35153856339022</v>
      </c>
      <c r="FH70" s="23">
        <f>10-51</f>
        <v>-41</v>
      </c>
      <c r="FI70" s="8">
        <v>38.94126023957386</v>
      </c>
      <c r="FJ70" s="20">
        <v>-5.621</v>
      </c>
      <c r="FK70" s="23">
        <f>27-28</f>
        <v>-1</v>
      </c>
      <c r="FL70" s="8">
        <v>44.550282823812196</v>
      </c>
      <c r="FM70" s="23">
        <f>14-6</f>
        <v>8</v>
      </c>
      <c r="FN70" s="8">
        <v>80.6070549934676</v>
      </c>
      <c r="FO70" s="23">
        <f>22-33</f>
        <v>-11</v>
      </c>
      <c r="FP70" s="8">
        <v>45.200235925707474</v>
      </c>
      <c r="FQ70" s="8">
        <v>27.72747432641266</v>
      </c>
      <c r="FR70" s="8">
        <v>62.69494194912782</v>
      </c>
      <c r="FS70" s="8">
        <v>8.548279121963775</v>
      </c>
      <c r="FT70" s="112">
        <f>FQ70-FS70</f>
        <v>19.179195204448888</v>
      </c>
      <c r="FU70" s="23">
        <v>1.0293046024957384</v>
      </c>
    </row>
    <row r="71" spans="1:177" ht="12">
      <c r="A71" s="1" t="s">
        <v>33</v>
      </c>
      <c r="B71" s="23">
        <f>30-27</f>
        <v>3</v>
      </c>
      <c r="C71" s="8">
        <v>42.77771750922109</v>
      </c>
      <c r="D71" s="23">
        <f>15-47</f>
        <v>-32</v>
      </c>
      <c r="E71" s="8">
        <v>38.19429377305272</v>
      </c>
      <c r="F71" s="20">
        <v>-4.026</v>
      </c>
      <c r="G71" s="23">
        <f>19-41</f>
        <v>-22</v>
      </c>
      <c r="H71" s="8">
        <v>39.65610761553482</v>
      </c>
      <c r="I71" s="23">
        <f>24-2</f>
        <v>22</v>
      </c>
      <c r="J71" s="8">
        <v>74.12942069863311</v>
      </c>
      <c r="K71" s="23">
        <f>6-39</f>
        <v>-33</v>
      </c>
      <c r="L71" s="8">
        <v>54.98752440876545</v>
      </c>
      <c r="M71" s="8">
        <v>43.71609893686266</v>
      </c>
      <c r="N71" s="8">
        <v>45.53319592102408</v>
      </c>
      <c r="O71" s="8">
        <v>9.297027554784117</v>
      </c>
      <c r="P71" s="23">
        <f t="shared" si="121"/>
        <v>34.41907138207854</v>
      </c>
      <c r="Q71" s="8">
        <v>1.4536775873291388</v>
      </c>
      <c r="R71" s="23">
        <f>18-40</f>
        <v>-22</v>
      </c>
      <c r="S71" s="8">
        <v>41.87667560321716</v>
      </c>
      <c r="T71" s="23">
        <f>12-50</f>
        <v>-38</v>
      </c>
      <c r="U71" s="8">
        <v>38.16162389888931</v>
      </c>
      <c r="V71" s="20">
        <v>-4.43</v>
      </c>
      <c r="W71" s="23">
        <f>10-36</f>
        <v>-26</v>
      </c>
      <c r="X71" s="8">
        <v>53.8414400612792</v>
      </c>
      <c r="Y71" s="23">
        <f>16-5</f>
        <v>11</v>
      </c>
      <c r="Z71" s="8">
        <v>78.98889314438912</v>
      </c>
      <c r="AA71" s="23">
        <f>6-33</f>
        <v>-27</v>
      </c>
      <c r="AB71" s="8">
        <v>61.064726158559935</v>
      </c>
      <c r="AC71" s="8">
        <v>21.35580237456913</v>
      </c>
      <c r="AD71" s="8">
        <v>69.70509383378017</v>
      </c>
      <c r="AE71" s="8">
        <v>7.705859823822291</v>
      </c>
      <c r="AF71" s="23">
        <f t="shared" si="122"/>
        <v>13.64994255074684</v>
      </c>
      <c r="AG71" s="8">
        <v>1.2332439678284184</v>
      </c>
      <c r="AH71" s="23">
        <f>28-37</f>
        <v>-9</v>
      </c>
      <c r="AI71" s="8">
        <v>35.080280809063744</v>
      </c>
      <c r="AJ71" s="23">
        <f>11-41</f>
        <v>-30</v>
      </c>
      <c r="AK71" s="8">
        <v>48.321401265030936</v>
      </c>
      <c r="AL71" s="20">
        <v>-4.181</v>
      </c>
      <c r="AM71" s="23">
        <f>12-45</f>
        <v>-33</v>
      </c>
      <c r="AN71" s="8">
        <v>42.0449016473205</v>
      </c>
      <c r="AO71" s="23">
        <f>9-7</f>
        <v>2</v>
      </c>
      <c r="AP71" s="8">
        <v>83.99249322304858</v>
      </c>
      <c r="AQ71" s="23">
        <f>6-45</f>
        <v>-39</v>
      </c>
      <c r="AR71" s="8">
        <v>48.126781121846115</v>
      </c>
      <c r="AS71" s="8">
        <v>28.185167164801555</v>
      </c>
      <c r="AT71" s="8">
        <v>68.53409327865434</v>
      </c>
      <c r="AU71" s="8">
        <v>3.2807395565441024</v>
      </c>
      <c r="AV71" s="23">
        <f t="shared" si="123"/>
        <v>24.904427608257453</v>
      </c>
      <c r="AW71" s="8">
        <v>0</v>
      </c>
      <c r="AX71" s="23">
        <f>33-27</f>
        <v>6</v>
      </c>
      <c r="AY71" s="8">
        <v>39.78610104264554</v>
      </c>
      <c r="AZ71" s="23">
        <f>12-44</f>
        <v>-32</v>
      </c>
      <c r="BA71" s="8">
        <v>43.81348726898465</v>
      </c>
      <c r="BB71" s="20">
        <v>-2.569</v>
      </c>
      <c r="BC71" s="23">
        <f>6-49</f>
        <v>-43</v>
      </c>
      <c r="BD71" s="8">
        <v>44.49366805387748</v>
      </c>
      <c r="BE71" s="23">
        <f>10-1</f>
        <v>9</v>
      </c>
      <c r="BF71" s="8">
        <v>88.72331856625051</v>
      </c>
      <c r="BG71" s="23">
        <f>6-43</f>
        <v>-37</v>
      </c>
      <c r="BH71" s="8">
        <v>50.63766948583702</v>
      </c>
      <c r="BI71" s="8">
        <v>13.402246386539579</v>
      </c>
      <c r="BJ71" s="8">
        <v>78.11339329663937</v>
      </c>
      <c r="BK71" s="8">
        <v>8.48436031682105</v>
      </c>
      <c r="BL71" s="23">
        <f t="shared" si="124"/>
        <v>4.917886069718529</v>
      </c>
      <c r="BM71" s="8">
        <v>0</v>
      </c>
      <c r="BN71" s="23">
        <f>24-35</f>
        <v>-11</v>
      </c>
      <c r="BO71" s="8">
        <v>40.97596216997241</v>
      </c>
      <c r="BP71" s="23">
        <f>10-45</f>
        <v>-35</v>
      </c>
      <c r="BQ71" s="8">
        <v>45.47484565874163</v>
      </c>
      <c r="BR71" s="20">
        <v>-5.663</v>
      </c>
      <c r="BS71" s="23">
        <f>9-42</f>
        <v>-33</v>
      </c>
      <c r="BT71" s="8">
        <v>48.213582030736895</v>
      </c>
      <c r="BU71" s="23">
        <f>6-5</f>
        <v>1</v>
      </c>
      <c r="BV71" s="8">
        <v>88.77577827400499</v>
      </c>
      <c r="BW71" s="23">
        <f>9-34</f>
        <v>-25</v>
      </c>
      <c r="BX71" s="8">
        <v>57.460922106922375</v>
      </c>
      <c r="BY71" s="8">
        <v>29.666360173387623</v>
      </c>
      <c r="BZ71" s="8">
        <v>63.70681728622094</v>
      </c>
      <c r="CA71" s="8">
        <v>5.85840010508341</v>
      </c>
      <c r="CB71" s="23">
        <f t="shared" si="125"/>
        <v>23.80796006830421</v>
      </c>
      <c r="CC71" s="8">
        <v>0.7684224353080258</v>
      </c>
      <c r="CD71" s="23">
        <f>33-47</f>
        <v>-14</v>
      </c>
      <c r="CE71" s="8">
        <v>19.940533282179167</v>
      </c>
      <c r="CF71" s="23">
        <f>22-58</f>
        <v>-36</v>
      </c>
      <c r="CG71" s="8">
        <v>19.90216765777863</v>
      </c>
      <c r="CH71" s="20">
        <v>-4.184</v>
      </c>
      <c r="CI71" s="23">
        <f>9-42</f>
        <v>-33</v>
      </c>
      <c r="CJ71" s="8">
        <v>49.80817187799732</v>
      </c>
      <c r="CK71" s="23">
        <f>7-8</f>
        <v>-1</v>
      </c>
      <c r="CL71" s="8">
        <v>84.93190101668905</v>
      </c>
      <c r="CM71" s="23">
        <f>9-37</f>
        <v>-28</v>
      </c>
      <c r="CN71" s="8">
        <v>53.42413197774793</v>
      </c>
      <c r="CO71" s="8">
        <v>25.714559754460005</v>
      </c>
      <c r="CP71" s="8">
        <v>68.74160751966238</v>
      </c>
      <c r="CQ71" s="8">
        <v>5.543832725877613</v>
      </c>
      <c r="CR71" s="23">
        <f t="shared" si="126"/>
        <v>20.17072702858239</v>
      </c>
      <c r="CS71" s="8">
        <v>0</v>
      </c>
      <c r="CT71" s="23">
        <f>30-28</f>
        <v>2</v>
      </c>
      <c r="CU71" s="8">
        <v>42.238907849829346</v>
      </c>
      <c r="CV71" s="23">
        <f>14-49</f>
        <v>-35</v>
      </c>
      <c r="CW71" s="8">
        <v>37.29692832764505</v>
      </c>
      <c r="CX71" s="20">
        <v>-3.257</v>
      </c>
      <c r="CY71" s="23">
        <f>14-32</f>
        <v>-18</v>
      </c>
      <c r="CZ71" s="8">
        <v>53.8839590443686</v>
      </c>
      <c r="DA71" s="23">
        <f>20-3</f>
        <v>17</v>
      </c>
      <c r="DB71" s="8">
        <v>77.59044368600682</v>
      </c>
      <c r="DC71" s="23">
        <f>7-32</f>
        <v>-25</v>
      </c>
      <c r="DD71" s="8">
        <v>61.52901023890786</v>
      </c>
      <c r="DE71" s="8">
        <v>24.197952218430032</v>
      </c>
      <c r="DF71" s="8">
        <v>73.39931740614335</v>
      </c>
      <c r="DG71" s="8">
        <v>2.4027303754266214</v>
      </c>
      <c r="DH71" s="23">
        <f t="shared" si="127"/>
        <v>21.79522184300341</v>
      </c>
      <c r="DI71" s="8">
        <v>0</v>
      </c>
      <c r="DJ71" s="23">
        <f>32-37</f>
        <v>-5</v>
      </c>
      <c r="DK71" s="8">
        <v>31.044567359654142</v>
      </c>
      <c r="DL71" s="23">
        <f>14-52</f>
        <v>-38</v>
      </c>
      <c r="DM71" s="8">
        <v>34.045393858477965</v>
      </c>
      <c r="DN71" s="20">
        <v>-5.615</v>
      </c>
      <c r="DO71" s="23">
        <f>8-46</f>
        <v>-38</v>
      </c>
      <c r="DP71" s="8">
        <v>46.12499205289593</v>
      </c>
      <c r="DQ71" s="23">
        <f>11-5</f>
        <v>6</v>
      </c>
      <c r="DR71" s="8">
        <v>84.20115709835336</v>
      </c>
      <c r="DS71" s="23">
        <f>3-42</f>
        <v>-39</v>
      </c>
      <c r="DT71" s="8">
        <v>55.07025240002543</v>
      </c>
      <c r="DU71" s="8">
        <v>30.148134019963123</v>
      </c>
      <c r="DV71" s="8">
        <v>57.12378409307648</v>
      </c>
      <c r="DW71" s="8">
        <v>12.511920656112913</v>
      </c>
      <c r="DX71" s="23">
        <f t="shared" si="128"/>
        <v>17.63621336385021</v>
      </c>
      <c r="DY71" s="8">
        <v>0.2161612308474792</v>
      </c>
      <c r="DZ71" s="23">
        <f>24-42</f>
        <v>-18</v>
      </c>
      <c r="EA71" s="8">
        <v>34.15720737214695</v>
      </c>
      <c r="EB71" s="23">
        <f>10-60</f>
        <v>-50</v>
      </c>
      <c r="EC71" s="8">
        <v>29.958501159526424</v>
      </c>
      <c r="ED71" s="20">
        <v>-6.48</v>
      </c>
      <c r="EE71" s="23">
        <f>17-35</f>
        <v>-18</v>
      </c>
      <c r="EF71" s="8">
        <v>48.0837300134261</v>
      </c>
      <c r="EG71" s="23">
        <f>16-4</f>
        <v>12</v>
      </c>
      <c r="EH71" s="8">
        <v>80.22702306847309</v>
      </c>
      <c r="EI71" s="23">
        <f>8-30</f>
        <v>-22</v>
      </c>
      <c r="EJ71" s="8">
        <v>62.23605516904674</v>
      </c>
      <c r="EK71" s="8">
        <v>23.1539118759917</v>
      </c>
      <c r="EL71" s="8">
        <v>63.658000732332475</v>
      </c>
      <c r="EM71" s="8">
        <v>13.18808739167582</v>
      </c>
      <c r="EN71" s="23">
        <f t="shared" si="129"/>
        <v>9.96582448431588</v>
      </c>
      <c r="EO71" s="8">
        <v>0</v>
      </c>
      <c r="EP71" s="23">
        <f>28-34</f>
        <v>-6</v>
      </c>
      <c r="EQ71" s="8">
        <v>37.820440287154725</v>
      </c>
      <c r="ER71" s="23">
        <f>13-49</f>
        <v>-36</v>
      </c>
      <c r="ES71" s="8">
        <v>38.05365921120457</v>
      </c>
      <c r="ET71" s="20">
        <v>-4.375</v>
      </c>
      <c r="EU71" s="23">
        <f>13-41</f>
        <v>-28</v>
      </c>
      <c r="EV71" s="8">
        <v>46.018305485359384</v>
      </c>
      <c r="EW71" s="23">
        <f>15-4</f>
        <v>11</v>
      </c>
      <c r="EX71" s="8">
        <v>81.52290071537234</v>
      </c>
      <c r="EY71" s="23">
        <f>7-38</f>
        <v>-31</v>
      </c>
      <c r="EZ71" s="8">
        <v>55.746237694715795</v>
      </c>
      <c r="FA71" s="8">
        <v>28.436364550723543</v>
      </c>
      <c r="FB71" s="8">
        <v>63.01374168646827</v>
      </c>
      <c r="FC71" s="8">
        <v>8.016821936408554</v>
      </c>
      <c r="FD71" s="23">
        <f t="shared" si="130"/>
        <v>20.419542614314988</v>
      </c>
      <c r="FE71" s="8">
        <v>0.5330718263996279</v>
      </c>
      <c r="FF71" s="23">
        <f>22-35</f>
        <v>-13</v>
      </c>
      <c r="FG71" s="8">
        <v>42.2113035080523</v>
      </c>
      <c r="FH71" s="23">
        <f>10-51</f>
        <v>-41</v>
      </c>
      <c r="FI71" s="8">
        <v>38.51440878295483</v>
      </c>
      <c r="FJ71" s="20">
        <v>-5.797</v>
      </c>
      <c r="FK71" s="23">
        <f>8-38</f>
        <v>-30</v>
      </c>
      <c r="FL71" s="8">
        <v>53.693746579864275</v>
      </c>
      <c r="FM71" s="23">
        <f>13-7</f>
        <v>6</v>
      </c>
      <c r="FN71" s="8">
        <v>79.84214829430714</v>
      </c>
      <c r="FO71" s="23">
        <f>5-39</f>
        <v>-34</v>
      </c>
      <c r="FP71" s="8">
        <v>55.991614822578875</v>
      </c>
      <c r="FQ71" s="8">
        <v>21.512526377290392</v>
      </c>
      <c r="FR71" s="8">
        <v>69.08975084282329</v>
      </c>
      <c r="FS71" s="8">
        <v>8.263510867119567</v>
      </c>
      <c r="FT71" s="112">
        <f>FQ71-FS71</f>
        <v>13.249015510170825</v>
      </c>
      <c r="FU71" s="23">
        <v>1.1342119127667476</v>
      </c>
    </row>
    <row r="72" spans="1:177" ht="12">
      <c r="A72" s="1" t="s">
        <v>9</v>
      </c>
      <c r="B72" s="24">
        <f aca="true" t="shared" si="131" ref="B72:O72">AVERAGE(B68:B71)</f>
        <v>-31.75</v>
      </c>
      <c r="C72" s="13">
        <f t="shared" si="131"/>
        <v>36.67756020828813</v>
      </c>
      <c r="D72" s="24">
        <f t="shared" si="131"/>
        <v>-32.5</v>
      </c>
      <c r="E72" s="13">
        <f t="shared" si="131"/>
        <v>41.08605445866782</v>
      </c>
      <c r="F72" s="21">
        <f t="shared" si="131"/>
        <v>-5.01725</v>
      </c>
      <c r="G72" s="24">
        <f t="shared" si="131"/>
        <v>-4.5</v>
      </c>
      <c r="H72" s="13">
        <f t="shared" si="131"/>
        <v>48.1252712085051</v>
      </c>
      <c r="I72" s="24">
        <f t="shared" si="131"/>
        <v>11.5</v>
      </c>
      <c r="J72" s="13">
        <f t="shared" si="131"/>
        <v>81.96599045346062</v>
      </c>
      <c r="K72" s="24">
        <f t="shared" si="131"/>
        <v>-16.5</v>
      </c>
      <c r="L72" s="13">
        <f t="shared" si="131"/>
        <v>59.557387719678886</v>
      </c>
      <c r="M72" s="13">
        <f t="shared" si="131"/>
        <v>34.62722390974181</v>
      </c>
      <c r="N72" s="13">
        <f t="shared" si="131"/>
        <v>57.292796702104575</v>
      </c>
      <c r="O72" s="13">
        <f t="shared" si="131"/>
        <v>6.544261228032111</v>
      </c>
      <c r="P72" s="24">
        <f t="shared" si="121"/>
        <v>28.082962681709695</v>
      </c>
      <c r="Q72" s="13">
        <f aca="true" t="shared" si="132" ref="Q72:AE72">AVERAGE(Q68:Q71)</f>
        <v>1.5357181601215015</v>
      </c>
      <c r="R72" s="24">
        <f t="shared" si="132"/>
        <v>-45.75</v>
      </c>
      <c r="S72" s="13">
        <f t="shared" si="132"/>
        <v>29.425507468402913</v>
      </c>
      <c r="T72" s="24">
        <f t="shared" si="132"/>
        <v>-49</v>
      </c>
      <c r="U72" s="13">
        <f t="shared" si="132"/>
        <v>27.29988510149368</v>
      </c>
      <c r="V72" s="21">
        <f t="shared" si="132"/>
        <v>-7.7495</v>
      </c>
      <c r="W72" s="24">
        <f t="shared" si="132"/>
        <v>-12.5</v>
      </c>
      <c r="X72" s="13">
        <f t="shared" si="132"/>
        <v>55.86365377250096</v>
      </c>
      <c r="Y72" s="24">
        <f t="shared" si="132"/>
        <v>13.25</v>
      </c>
      <c r="Z72" s="13">
        <f t="shared" si="132"/>
        <v>78.18843355036384</v>
      </c>
      <c r="AA72" s="24">
        <f t="shared" si="132"/>
        <v>-23.75</v>
      </c>
      <c r="AB72" s="13">
        <f t="shared" si="132"/>
        <v>58.31865185752585</v>
      </c>
      <c r="AC72" s="13">
        <f t="shared" si="132"/>
        <v>33.182688625047874</v>
      </c>
      <c r="AD72" s="13">
        <f t="shared" si="132"/>
        <v>59.44657219456147</v>
      </c>
      <c r="AE72" s="13">
        <f t="shared" si="132"/>
        <v>6.173879739563386</v>
      </c>
      <c r="AF72" s="24">
        <f t="shared" si="122"/>
        <v>27.008808885484488</v>
      </c>
      <c r="AG72" s="13">
        <f aca="true" t="shared" si="133" ref="AG72:AU72">AVERAGE(AG68:AG71)</f>
        <v>1.1968594408272692</v>
      </c>
      <c r="AH72" s="24">
        <f t="shared" si="133"/>
        <v>-35.75</v>
      </c>
      <c r="AI72" s="13">
        <f t="shared" si="133"/>
        <v>35.49732397303121</v>
      </c>
      <c r="AJ72" s="24">
        <f t="shared" si="133"/>
        <v>-35.5</v>
      </c>
      <c r="AK72" s="13">
        <f t="shared" si="133"/>
        <v>41.15347188434003</v>
      </c>
      <c r="AL72" s="21">
        <f t="shared" si="133"/>
        <v>-5.76625</v>
      </c>
      <c r="AM72" s="24">
        <f t="shared" si="133"/>
        <v>-13.25</v>
      </c>
      <c r="AN72" s="13">
        <f t="shared" si="133"/>
        <v>46.43949398762772</v>
      </c>
      <c r="AO72" s="24">
        <f t="shared" si="133"/>
        <v>9</v>
      </c>
      <c r="AP72" s="13">
        <f t="shared" si="133"/>
        <v>81.8551470077153</v>
      </c>
      <c r="AQ72" s="24">
        <f t="shared" si="133"/>
        <v>-22.25</v>
      </c>
      <c r="AR72" s="13">
        <f t="shared" si="133"/>
        <v>52.055675262389656</v>
      </c>
      <c r="AS72" s="13">
        <f t="shared" si="133"/>
        <v>22.702787238479182</v>
      </c>
      <c r="AT72" s="13">
        <f t="shared" si="133"/>
        <v>68.98762771946896</v>
      </c>
      <c r="AU72" s="13">
        <f t="shared" si="133"/>
        <v>6.5423646347396955</v>
      </c>
      <c r="AV72" s="24">
        <f t="shared" si="123"/>
        <v>16.160422603739487</v>
      </c>
      <c r="AW72" s="13">
        <f aca="true" t="shared" si="134" ref="AW72:BK72">AVERAGE(AW68:AW71)</f>
        <v>1.7672204073121567</v>
      </c>
      <c r="AX72" s="24">
        <f t="shared" si="134"/>
        <v>-28.5</v>
      </c>
      <c r="AY72" s="13">
        <f t="shared" si="134"/>
        <v>33.28075356871169</v>
      </c>
      <c r="AZ72" s="24">
        <f t="shared" si="134"/>
        <v>-40.75</v>
      </c>
      <c r="BA72" s="13">
        <f t="shared" si="134"/>
        <v>33.411643621067704</v>
      </c>
      <c r="BB72" s="21">
        <f t="shared" si="134"/>
        <v>-4.57975</v>
      </c>
      <c r="BC72" s="24">
        <f t="shared" si="134"/>
        <v>-14.25</v>
      </c>
      <c r="BD72" s="13">
        <f t="shared" si="134"/>
        <v>45.6157426052714</v>
      </c>
      <c r="BE72" s="24">
        <f t="shared" si="134"/>
        <v>7.75</v>
      </c>
      <c r="BF72" s="13">
        <f t="shared" si="134"/>
        <v>82.97086857296281</v>
      </c>
      <c r="BG72" s="24">
        <f t="shared" si="134"/>
        <v>-19</v>
      </c>
      <c r="BH72" s="13">
        <f t="shared" si="134"/>
        <v>48.588177383988906</v>
      </c>
      <c r="BI72" s="13">
        <f t="shared" si="134"/>
        <v>20.07987649348906</v>
      </c>
      <c r="BJ72" s="13">
        <f t="shared" si="134"/>
        <v>70.62357363404485</v>
      </c>
      <c r="BK72" s="13">
        <f t="shared" si="134"/>
        <v>8.096165033337808</v>
      </c>
      <c r="BL72" s="24">
        <f t="shared" si="124"/>
        <v>11.983711460151252</v>
      </c>
      <c r="BM72" s="13">
        <f aca="true" t="shared" si="135" ref="BM72:CA72">AVERAGE(BM68:BM71)</f>
        <v>1.2003848391282947</v>
      </c>
      <c r="BN72" s="24">
        <f t="shared" si="135"/>
        <v>-33.75</v>
      </c>
      <c r="BO72" s="13">
        <f t="shared" si="135"/>
        <v>39.81676080388808</v>
      </c>
      <c r="BP72" s="24">
        <f t="shared" si="135"/>
        <v>-45.75</v>
      </c>
      <c r="BQ72" s="13">
        <f t="shared" si="135"/>
        <v>39.97438591882307</v>
      </c>
      <c r="BR72" s="21">
        <f t="shared" si="135"/>
        <v>-6.835</v>
      </c>
      <c r="BS72" s="24">
        <f t="shared" si="135"/>
        <v>-9.75</v>
      </c>
      <c r="BT72" s="13">
        <f t="shared" si="135"/>
        <v>48.04938920267962</v>
      </c>
      <c r="BU72" s="24">
        <f t="shared" si="135"/>
        <v>6.75</v>
      </c>
      <c r="BV72" s="13">
        <f t="shared" si="135"/>
        <v>83.05858400105083</v>
      </c>
      <c r="BW72" s="24">
        <f t="shared" si="135"/>
        <v>-17.25</v>
      </c>
      <c r="BX72" s="13">
        <f t="shared" si="135"/>
        <v>53.617168002101664</v>
      </c>
      <c r="BY72" s="13">
        <f t="shared" si="135"/>
        <v>23.60600288979377</v>
      </c>
      <c r="BZ72" s="13">
        <f t="shared" si="135"/>
        <v>66.27315118875607</v>
      </c>
      <c r="CA72" s="13">
        <f t="shared" si="135"/>
        <v>8.623407329567845</v>
      </c>
      <c r="CB72" s="24">
        <f t="shared" si="125"/>
        <v>14.982595560225926</v>
      </c>
      <c r="CC72" s="13">
        <f aca="true" t="shared" si="136" ref="CC72:CQ72">AVERAGE(CC68:CC71)</f>
        <v>1.4974385918823065</v>
      </c>
      <c r="CD72" s="24">
        <f t="shared" si="136"/>
        <v>-32.75</v>
      </c>
      <c r="CE72" s="13">
        <f t="shared" si="136"/>
        <v>30.80999424515634</v>
      </c>
      <c r="CF72" s="24">
        <f t="shared" si="136"/>
        <v>-44.5</v>
      </c>
      <c r="CG72" s="13">
        <f t="shared" si="136"/>
        <v>30.690101668904664</v>
      </c>
      <c r="CH72" s="21">
        <f t="shared" si="136"/>
        <v>-4.5280000000000005</v>
      </c>
      <c r="CI72" s="24">
        <f t="shared" si="136"/>
        <v>-2</v>
      </c>
      <c r="CJ72" s="13">
        <f t="shared" si="136"/>
        <v>51.24448494149242</v>
      </c>
      <c r="CK72" s="24">
        <f t="shared" si="136"/>
        <v>10.5</v>
      </c>
      <c r="CL72" s="13">
        <f t="shared" si="136"/>
        <v>83.32054479186648</v>
      </c>
      <c r="CM72" s="24">
        <f t="shared" si="136"/>
        <v>-11.75</v>
      </c>
      <c r="CN72" s="13">
        <f t="shared" si="136"/>
        <v>54.07394974103204</v>
      </c>
      <c r="CO72" s="13">
        <f t="shared" si="136"/>
        <v>26.54901208517169</v>
      </c>
      <c r="CP72" s="13">
        <f t="shared" si="136"/>
        <v>68.08939190485324</v>
      </c>
      <c r="CQ72" s="13">
        <f t="shared" si="136"/>
        <v>5.268079800498754</v>
      </c>
      <c r="CR72" s="24">
        <f t="shared" si="126"/>
        <v>21.280932284672936</v>
      </c>
      <c r="CS72" s="13">
        <f aca="true" t="shared" si="137" ref="CS72:DG72">AVERAGE(CS68:CS71)</f>
        <v>0.09351620947630923</v>
      </c>
      <c r="CT72" s="24">
        <f t="shared" si="137"/>
        <v>-27</v>
      </c>
      <c r="CU72" s="13">
        <f t="shared" si="137"/>
        <v>35.98634812286689</v>
      </c>
      <c r="CV72" s="24">
        <f t="shared" si="137"/>
        <v>-40</v>
      </c>
      <c r="CW72" s="13">
        <f t="shared" si="137"/>
        <v>34.865187713310576</v>
      </c>
      <c r="CX72" s="21">
        <f t="shared" si="137"/>
        <v>-5.114750000000001</v>
      </c>
      <c r="CY72" s="24">
        <f t="shared" si="137"/>
        <v>-3.5</v>
      </c>
      <c r="CZ72" s="13">
        <f t="shared" si="137"/>
        <v>45.52389078498293</v>
      </c>
      <c r="DA72" s="24">
        <f t="shared" si="137"/>
        <v>8.25</v>
      </c>
      <c r="DB72" s="13">
        <f t="shared" si="137"/>
        <v>80.6962457337884</v>
      </c>
      <c r="DC72" s="24">
        <f t="shared" si="137"/>
        <v>-18</v>
      </c>
      <c r="DD72" s="13">
        <f t="shared" si="137"/>
        <v>50.182593856655295</v>
      </c>
      <c r="DE72" s="13">
        <f t="shared" si="137"/>
        <v>25.3617747440273</v>
      </c>
      <c r="DF72" s="13">
        <f t="shared" si="137"/>
        <v>67.4726962457338</v>
      </c>
      <c r="DG72" s="13">
        <f t="shared" si="137"/>
        <v>5.580204778156997</v>
      </c>
      <c r="DH72" s="24">
        <f t="shared" si="127"/>
        <v>19.781569965870304</v>
      </c>
      <c r="DI72" s="13">
        <f aca="true" t="shared" si="138" ref="DI72:DW72">AVERAGE(DI68:DI71)</f>
        <v>1.5853242320819112</v>
      </c>
      <c r="DJ72" s="24">
        <f t="shared" si="138"/>
        <v>-36.75</v>
      </c>
      <c r="DK72" s="13">
        <f t="shared" si="138"/>
        <v>29.304151567168923</v>
      </c>
      <c r="DL72" s="24">
        <f t="shared" si="138"/>
        <v>-49.5</v>
      </c>
      <c r="DM72" s="13">
        <f t="shared" si="138"/>
        <v>30.22283679827071</v>
      </c>
      <c r="DN72" s="21">
        <f t="shared" si="138"/>
        <v>-6.999499999999999</v>
      </c>
      <c r="DO72" s="24">
        <f t="shared" si="138"/>
        <v>-18.25</v>
      </c>
      <c r="DP72" s="13">
        <f t="shared" si="138"/>
        <v>47.24394430669464</v>
      </c>
      <c r="DQ72" s="24">
        <f t="shared" si="138"/>
        <v>13</v>
      </c>
      <c r="DR72" s="13">
        <f t="shared" si="138"/>
        <v>78.00718418208405</v>
      </c>
      <c r="DS72" s="24">
        <f t="shared" si="138"/>
        <v>-24.5</v>
      </c>
      <c r="DT72" s="13">
        <f t="shared" si="138"/>
        <v>49.011380253035796</v>
      </c>
      <c r="DU72" s="13">
        <f t="shared" si="138"/>
        <v>23.124483438235107</v>
      </c>
      <c r="DV72" s="13">
        <f t="shared" si="138"/>
        <v>64.64810223154683</v>
      </c>
      <c r="DW72" s="13">
        <f t="shared" si="138"/>
        <v>10.84302880030517</v>
      </c>
      <c r="DX72" s="24">
        <f t="shared" si="128"/>
        <v>12.281454637929937</v>
      </c>
      <c r="DY72" s="13">
        <f aca="true" t="shared" si="139" ref="DY72:EM72">AVERAGE(DY68:DY71)</f>
        <v>1.3843855299128998</v>
      </c>
      <c r="DZ72" s="24">
        <f t="shared" si="139"/>
        <v>-32</v>
      </c>
      <c r="EA72" s="13">
        <f t="shared" si="139"/>
        <v>33.78341266935188</v>
      </c>
      <c r="EB72" s="24">
        <f t="shared" si="139"/>
        <v>-43.75</v>
      </c>
      <c r="EC72" s="13">
        <f t="shared" si="139"/>
        <v>41.036555596240696</v>
      </c>
      <c r="ED72" s="21">
        <f t="shared" si="139"/>
        <v>-6.180750000000001</v>
      </c>
      <c r="EE72" s="24">
        <f t="shared" si="139"/>
        <v>-9.75</v>
      </c>
      <c r="EF72" s="13">
        <f t="shared" si="139"/>
        <v>52.0825704870011</v>
      </c>
      <c r="EG72" s="24">
        <f t="shared" si="139"/>
        <v>5.5</v>
      </c>
      <c r="EH72" s="13">
        <f t="shared" si="139"/>
        <v>82.32790186744782</v>
      </c>
      <c r="EI72" s="24">
        <f t="shared" si="139"/>
        <v>-14.5</v>
      </c>
      <c r="EJ72" s="13">
        <f t="shared" si="139"/>
        <v>55.980715244721104</v>
      </c>
      <c r="EK72" s="13">
        <f t="shared" si="139"/>
        <v>17.784999389722934</v>
      </c>
      <c r="EL72" s="13">
        <f t="shared" si="139"/>
        <v>73.78554863908214</v>
      </c>
      <c r="EM72" s="13">
        <f t="shared" si="139"/>
        <v>7.861894300012205</v>
      </c>
      <c r="EN72" s="24">
        <f t="shared" si="129"/>
        <v>9.92310508971073</v>
      </c>
      <c r="EO72" s="13">
        <f aca="true" t="shared" si="140" ref="EO72:FC72">AVERAGE(EO68:EO71)</f>
        <v>0.5675576711827169</v>
      </c>
      <c r="EP72" s="24">
        <f t="shared" si="140"/>
        <v>-33</v>
      </c>
      <c r="EQ72" s="13">
        <f t="shared" si="140"/>
        <v>34.32357082688995</v>
      </c>
      <c r="ER72" s="24">
        <f t="shared" si="140"/>
        <v>-41</v>
      </c>
      <c r="ES72" s="13">
        <f t="shared" si="140"/>
        <v>36.44281421692503</v>
      </c>
      <c r="ET72" s="21">
        <f t="shared" si="140"/>
        <v>-5.7147499999999996</v>
      </c>
      <c r="EU72" s="24">
        <f t="shared" si="140"/>
        <v>-9</v>
      </c>
      <c r="EV72" s="13">
        <f t="shared" si="140"/>
        <v>48.533423854964234</v>
      </c>
      <c r="EW72" s="24">
        <f t="shared" si="140"/>
        <v>9.75</v>
      </c>
      <c r="EX72" s="13">
        <f t="shared" si="140"/>
        <v>81.50938533298131</v>
      </c>
      <c r="EY72" s="24">
        <f t="shared" si="140"/>
        <v>-18.5</v>
      </c>
      <c r="EZ72" s="13">
        <f t="shared" si="140"/>
        <v>54.03387017689436</v>
      </c>
      <c r="FA72" s="13">
        <f t="shared" si="140"/>
        <v>26.07683023422472</v>
      </c>
      <c r="FB72" s="13">
        <f t="shared" si="140"/>
        <v>65.33068683287443</v>
      </c>
      <c r="FC72" s="13">
        <f t="shared" si="140"/>
        <v>7.319051031569419</v>
      </c>
      <c r="FD72" s="24">
        <f t="shared" si="130"/>
        <v>18.7577792026553</v>
      </c>
      <c r="FE72" s="13">
        <f aca="true" t="shared" si="141" ref="FE72:FU72">AVERAGE(FE68:FE71)</f>
        <v>1.2734319013314224</v>
      </c>
      <c r="FF72" s="24">
        <f t="shared" si="141"/>
        <v>-32.25</v>
      </c>
      <c r="FG72" s="13">
        <f t="shared" si="141"/>
        <v>38.725635439226444</v>
      </c>
      <c r="FH72" s="24">
        <f t="shared" si="141"/>
        <v>-45.5</v>
      </c>
      <c r="FI72" s="13">
        <f t="shared" si="141"/>
        <v>37.339155241522924</v>
      </c>
      <c r="FJ72" s="21">
        <f t="shared" si="141"/>
        <v>-7.337000000000001</v>
      </c>
      <c r="FK72" s="24">
        <f t="shared" si="141"/>
        <v>-15.75</v>
      </c>
      <c r="FL72" s="13">
        <f t="shared" si="141"/>
        <v>51.148795232597</v>
      </c>
      <c r="FM72" s="24">
        <f t="shared" si="141"/>
        <v>9.5</v>
      </c>
      <c r="FN72" s="13">
        <f t="shared" si="141"/>
        <v>77.68866649197548</v>
      </c>
      <c r="FO72" s="24">
        <f t="shared" si="141"/>
        <v>-24</v>
      </c>
      <c r="FP72" s="13">
        <f t="shared" si="141"/>
        <v>53.12160590592046</v>
      </c>
      <c r="FQ72" s="13">
        <f t="shared" si="141"/>
        <v>22.25904188977603</v>
      </c>
      <c r="FR72" s="13">
        <f t="shared" si="141"/>
        <v>67.30688212325728</v>
      </c>
      <c r="FS72" s="13">
        <f t="shared" si="141"/>
        <v>8.799227963677811</v>
      </c>
      <c r="FT72" s="13">
        <f t="shared" si="141"/>
        <v>13.459813926098217</v>
      </c>
      <c r="FU72" s="13">
        <f t="shared" si="141"/>
        <v>1.6348480232888676</v>
      </c>
    </row>
    <row r="73" spans="1:177" ht="12">
      <c r="A73" s="1" t="s">
        <v>283</v>
      </c>
      <c r="B73" s="23">
        <f>2-42</f>
        <v>-40</v>
      </c>
      <c r="C73" s="8">
        <v>55.79066594589028</v>
      </c>
      <c r="D73" s="23">
        <f>9-24</f>
        <v>-15</v>
      </c>
      <c r="E73" s="8">
        <v>67.33081061600639</v>
      </c>
      <c r="F73" s="20">
        <v>-2.534</v>
      </c>
      <c r="G73" s="23">
        <f>2-9</f>
        <v>-7</v>
      </c>
      <c r="H73" s="8">
        <v>69.69135325765181</v>
      </c>
      <c r="I73" s="23">
        <f>4-1</f>
        <v>3</v>
      </c>
      <c r="J73" s="8">
        <v>94.05616907354494</v>
      </c>
      <c r="K73" s="23">
        <f>10-14</f>
        <v>-4</v>
      </c>
      <c r="L73" s="8">
        <v>75.7227070301439</v>
      </c>
      <c r="M73" s="8">
        <v>29.191443354699203</v>
      </c>
      <c r="N73" s="8">
        <v>65.20194609622365</v>
      </c>
      <c r="O73" s="8">
        <v>5.27968697711535</v>
      </c>
      <c r="P73" s="23">
        <f t="shared" si="121"/>
        <v>23.911756377583853</v>
      </c>
      <c r="Q73" s="8">
        <v>0.32692357196179883</v>
      </c>
      <c r="R73" s="23">
        <f>3-38</f>
        <v>-35</v>
      </c>
      <c r="S73" s="8">
        <v>59.30944725156944</v>
      </c>
      <c r="T73" s="23">
        <f>7-22</f>
        <v>-15</v>
      </c>
      <c r="U73" s="8">
        <v>71.79604960955443</v>
      </c>
      <c r="V73" s="20">
        <v>-2.46</v>
      </c>
      <c r="W73" s="23">
        <f>17-10</f>
        <v>7</v>
      </c>
      <c r="X73" s="8">
        <v>73.43438983310367</v>
      </c>
      <c r="Y73" s="23">
        <f>6-4</f>
        <v>2</v>
      </c>
      <c r="Z73" s="8">
        <v>89.64170877354157</v>
      </c>
      <c r="AA73" s="23">
        <f>5-8</f>
        <v>-3</v>
      </c>
      <c r="AB73" s="8">
        <v>87.26841218802633</v>
      </c>
      <c r="AC73" s="8">
        <v>18.06767723166437</v>
      </c>
      <c r="AD73" s="8">
        <v>76.18282039503904</v>
      </c>
      <c r="AE73" s="8">
        <v>5.037513397642015</v>
      </c>
      <c r="AF73" s="23">
        <f t="shared" si="122"/>
        <v>13.030163834022353</v>
      </c>
      <c r="AG73" s="8">
        <v>0.7119889756545705</v>
      </c>
      <c r="AH73" s="23">
        <f>3-36</f>
        <v>-33</v>
      </c>
      <c r="AI73" s="8">
        <v>60.89878487543277</v>
      </c>
      <c r="AJ73" s="23">
        <f>9-20</f>
        <v>-11</v>
      </c>
      <c r="AK73" s="8">
        <v>70.47722489987102</v>
      </c>
      <c r="AL73" s="20">
        <v>-1.148</v>
      </c>
      <c r="AM73" s="23">
        <f>16-14</f>
        <v>2</v>
      </c>
      <c r="AN73" s="8">
        <v>70.1378046296925</v>
      </c>
      <c r="AO73" s="23">
        <f>10-3</f>
        <v>7</v>
      </c>
      <c r="AP73" s="8">
        <v>86.81012830086213</v>
      </c>
      <c r="AQ73" s="23">
        <f>13-15</f>
        <v>-2</v>
      </c>
      <c r="AR73" s="8">
        <v>72.49338130473151</v>
      </c>
      <c r="AS73" s="8">
        <v>23.806937750322447</v>
      </c>
      <c r="AT73" s="8">
        <v>76.19306224967755</v>
      </c>
      <c r="AU73" s="8">
        <v>0</v>
      </c>
      <c r="AV73" s="23">
        <f t="shared" si="123"/>
        <v>23.806937750322447</v>
      </c>
      <c r="AW73" s="8">
        <v>0</v>
      </c>
      <c r="AX73" s="23">
        <f>1-39</f>
        <v>-38</v>
      </c>
      <c r="AY73" s="8">
        <v>60.44579266684252</v>
      </c>
      <c r="AZ73" s="23">
        <f>6-33</f>
        <v>-27</v>
      </c>
      <c r="BA73" s="8">
        <v>61.57566165479644</v>
      </c>
      <c r="BB73" s="20">
        <v>-3.658</v>
      </c>
      <c r="BC73" s="23">
        <f>11-15</f>
        <v>-4</v>
      </c>
      <c r="BD73" s="8">
        <v>74.12292271168556</v>
      </c>
      <c r="BE73" s="23">
        <f>8-1</f>
        <v>7</v>
      </c>
      <c r="BF73" s="8">
        <v>90.5565813769454</v>
      </c>
      <c r="BG73" s="23">
        <f>7-28</f>
        <v>-21</v>
      </c>
      <c r="BH73" s="8">
        <v>64.69269322078607</v>
      </c>
      <c r="BI73" s="8">
        <v>15.637914358568539</v>
      </c>
      <c r="BJ73" s="8">
        <v>73.30519651806911</v>
      </c>
      <c r="BK73" s="8">
        <v>8.946627978545678</v>
      </c>
      <c r="BL73" s="23">
        <f t="shared" si="124"/>
        <v>6.691286380022861</v>
      </c>
      <c r="BM73" s="8">
        <v>2.110261144816671</v>
      </c>
      <c r="BN73" s="23">
        <f>5-34</f>
        <v>-29</v>
      </c>
      <c r="BO73" s="8">
        <v>61.65964343598055</v>
      </c>
      <c r="BP73" s="23">
        <f>5-27</f>
        <v>-22</v>
      </c>
      <c r="BQ73" s="8">
        <v>67.83144246353322</v>
      </c>
      <c r="BR73" s="20">
        <v>-3.145</v>
      </c>
      <c r="BS73" s="23">
        <f>20-8</f>
        <v>12</v>
      </c>
      <c r="BT73" s="8">
        <v>71.83144246353322</v>
      </c>
      <c r="BU73" s="23">
        <f>10-1</f>
        <v>9</v>
      </c>
      <c r="BV73" s="8">
        <v>89.3484602917342</v>
      </c>
      <c r="BW73" s="23">
        <f>13-9</f>
        <v>4</v>
      </c>
      <c r="BX73" s="8">
        <v>78.31442463533226</v>
      </c>
      <c r="BY73" s="8">
        <v>13.886547811993516</v>
      </c>
      <c r="BZ73" s="8">
        <v>82.34683954619125</v>
      </c>
      <c r="CA73" s="8">
        <v>3.7666126418152346</v>
      </c>
      <c r="CB73" s="23">
        <f t="shared" si="125"/>
        <v>10.119935170178282</v>
      </c>
      <c r="CC73" s="8">
        <v>0</v>
      </c>
      <c r="CD73" s="23">
        <f>4-43</f>
        <v>-39</v>
      </c>
      <c r="CE73" s="8">
        <v>52.593934770169746</v>
      </c>
      <c r="CF73" s="23">
        <f>7-25</f>
        <v>-18</v>
      </c>
      <c r="CG73" s="8">
        <v>67.09898912836164</v>
      </c>
      <c r="CH73" s="20">
        <v>-3.399</v>
      </c>
      <c r="CI73" s="23">
        <f>16-9</f>
        <v>7</v>
      </c>
      <c r="CJ73" s="8">
        <v>75.22410833492276</v>
      </c>
      <c r="CK73" s="23">
        <f>6-0</f>
        <v>6</v>
      </c>
      <c r="CL73" s="8">
        <v>93.93477016975015</v>
      </c>
      <c r="CM73" s="23">
        <f>9-8</f>
        <v>1</v>
      </c>
      <c r="CN73" s="8">
        <v>83.68300591264544</v>
      </c>
      <c r="CO73" s="8">
        <v>17.098989128361623</v>
      </c>
      <c r="CP73" s="8">
        <v>75.47205798207133</v>
      </c>
      <c r="CQ73" s="8">
        <v>7.428952889567042</v>
      </c>
      <c r="CR73" s="23">
        <f t="shared" si="126"/>
        <v>9.67003623879458</v>
      </c>
      <c r="CS73" s="8">
        <v>0</v>
      </c>
      <c r="CT73" s="23">
        <f>4-41</f>
        <v>-37</v>
      </c>
      <c r="CU73" s="8">
        <v>54.89184361976582</v>
      </c>
      <c r="CV73" s="23">
        <f>12-24</f>
        <v>-12</v>
      </c>
      <c r="CW73" s="8">
        <v>63.71634583581398</v>
      </c>
      <c r="CX73" s="20">
        <v>-2.197</v>
      </c>
      <c r="CY73" s="23">
        <f>29-6</f>
        <v>23</v>
      </c>
      <c r="CZ73" s="8">
        <v>65.56195012237878</v>
      </c>
      <c r="DA73" s="23">
        <f>3-1</f>
        <v>2</v>
      </c>
      <c r="DB73" s="8">
        <v>95.5943639611034</v>
      </c>
      <c r="DC73" s="23">
        <f>14-7</f>
        <v>7</v>
      </c>
      <c r="DD73" s="8">
        <v>79.19560759409936</v>
      </c>
      <c r="DE73" s="8">
        <v>18.700800423364424</v>
      </c>
      <c r="DF73" s="8">
        <v>76.04683468942251</v>
      </c>
      <c r="DG73" s="8">
        <v>5.252364887213071</v>
      </c>
      <c r="DH73" s="23">
        <f t="shared" si="127"/>
        <v>13.448435536151353</v>
      </c>
      <c r="DI73" s="8">
        <v>0</v>
      </c>
      <c r="DJ73" s="23">
        <f>4-40</f>
        <v>-36</v>
      </c>
      <c r="DK73" s="8">
        <v>55.8537194208687</v>
      </c>
      <c r="DL73" s="23">
        <f>9-35</f>
        <v>-26</v>
      </c>
      <c r="DM73" s="8">
        <v>56.19695456814778</v>
      </c>
      <c r="DN73" s="20">
        <v>-2.488</v>
      </c>
      <c r="DO73" s="23">
        <f>11-9</f>
        <v>2</v>
      </c>
      <c r="DP73" s="8">
        <v>80.12356465302048</v>
      </c>
      <c r="DQ73" s="23">
        <f>7-1</f>
        <v>6</v>
      </c>
      <c r="DR73" s="8">
        <v>91.84348477284074</v>
      </c>
      <c r="DS73" s="23">
        <f>8-12</f>
        <v>-4</v>
      </c>
      <c r="DT73" s="8">
        <v>79.68671992011981</v>
      </c>
      <c r="DU73" s="8">
        <v>20.213429855217175</v>
      </c>
      <c r="DV73" s="8">
        <v>74.77533699450824</v>
      </c>
      <c r="DW73" s="8">
        <v>4.487019470793809</v>
      </c>
      <c r="DX73" s="23">
        <f t="shared" si="128"/>
        <v>15.726410384423366</v>
      </c>
      <c r="DY73" s="8">
        <v>0.5242136794807789</v>
      </c>
      <c r="DZ73" s="23">
        <f>1-31</f>
        <v>-30</v>
      </c>
      <c r="EA73" s="8">
        <v>67.11498499191873</v>
      </c>
      <c r="EB73" s="23">
        <f>8-27</f>
        <v>-19</v>
      </c>
      <c r="EC73" s="8">
        <v>64.98499191872547</v>
      </c>
      <c r="ED73" s="20">
        <v>-3.63</v>
      </c>
      <c r="EE73" s="23">
        <f>23-4</f>
        <v>19</v>
      </c>
      <c r="EF73" s="8">
        <v>73.09512814592473</v>
      </c>
      <c r="EG73" s="23">
        <f>14-1</f>
        <v>13</v>
      </c>
      <c r="EH73" s="8">
        <v>85.8519972292773</v>
      </c>
      <c r="EI73" s="23">
        <f>16-7</f>
        <v>9</v>
      </c>
      <c r="EJ73" s="8">
        <v>76.55853151697067</v>
      </c>
      <c r="EK73" s="8">
        <v>12.80304779496652</v>
      </c>
      <c r="EL73" s="8">
        <v>81.78249826829831</v>
      </c>
      <c r="EM73" s="8">
        <v>5.414453936735165</v>
      </c>
      <c r="EN73" s="23">
        <f t="shared" si="129"/>
        <v>7.3885938582313555</v>
      </c>
      <c r="EO73" s="8">
        <v>0</v>
      </c>
      <c r="EP73" s="24">
        <f>3-38</f>
        <v>-35</v>
      </c>
      <c r="EQ73" s="8">
        <v>58.646694593373304</v>
      </c>
      <c r="ER73" s="23">
        <f>8-26</f>
        <v>-18</v>
      </c>
      <c r="ES73" s="8">
        <v>65.53168622757416</v>
      </c>
      <c r="ET73" s="20">
        <v>-2.753</v>
      </c>
      <c r="EU73" s="23">
        <f>18-9</f>
        <v>9</v>
      </c>
      <c r="EV73" s="10">
        <v>72.20112113921424</v>
      </c>
      <c r="EW73" s="23">
        <f>7-1</f>
        <v>6</v>
      </c>
      <c r="EX73" s="10">
        <v>91.17255529365787</v>
      </c>
      <c r="EY73" s="23">
        <f>11-13</f>
        <v>-2</v>
      </c>
      <c r="EZ73" s="10">
        <v>76.37180786751505</v>
      </c>
      <c r="FA73" s="8">
        <v>20.140814108279088</v>
      </c>
      <c r="FB73" s="8">
        <v>74.15639769909991</v>
      </c>
      <c r="FC73" s="8">
        <v>5.224044650163042</v>
      </c>
      <c r="FD73" s="24">
        <f t="shared" si="130"/>
        <v>14.916769458116047</v>
      </c>
      <c r="FE73" s="8">
        <v>0.47874354245795725</v>
      </c>
      <c r="FF73" s="24">
        <f>5-41</f>
        <v>-36</v>
      </c>
      <c r="FG73" s="8">
        <v>54.074302551157075</v>
      </c>
      <c r="FH73" s="24">
        <f>7-31</f>
        <v>-24</v>
      </c>
      <c r="FI73" s="8">
        <v>62.19210834142773</v>
      </c>
      <c r="FJ73" s="20">
        <v>-3.694</v>
      </c>
      <c r="FK73" s="24">
        <f>24-10</f>
        <v>14</v>
      </c>
      <c r="FL73" s="10">
        <v>66.02727655617696</v>
      </c>
      <c r="FM73" s="24">
        <f>11-3</f>
        <v>8</v>
      </c>
      <c r="FN73" s="10">
        <v>86.02856624918492</v>
      </c>
      <c r="FO73" s="24">
        <f>18-12</f>
        <v>6</v>
      </c>
      <c r="FP73" s="8">
        <v>69.69933919016297</v>
      </c>
      <c r="FQ73" s="8">
        <v>18.21114168495235</v>
      </c>
      <c r="FR73" s="8">
        <v>75.01869152978334</v>
      </c>
      <c r="FS73" s="8">
        <v>6.027826704942591</v>
      </c>
      <c r="FT73" s="16">
        <f>FQ73-FS73</f>
        <v>12.183314980009758</v>
      </c>
      <c r="FU73" s="23">
        <v>0.7423400803217197</v>
      </c>
    </row>
    <row r="74" spans="1:177" ht="12">
      <c r="A74" s="1" t="s">
        <v>36</v>
      </c>
      <c r="B74" s="23">
        <f>25-30</f>
        <v>-5</v>
      </c>
      <c r="C74" s="8">
        <v>45.12832393749839</v>
      </c>
      <c r="D74" s="23">
        <f>20-38</f>
        <v>-18</v>
      </c>
      <c r="E74" s="8">
        <v>41.828197801632044</v>
      </c>
      <c r="F74" s="20">
        <v>-3.214</v>
      </c>
      <c r="G74" s="23">
        <f>26-29</f>
        <v>-3</v>
      </c>
      <c r="H74" s="8">
        <v>44.66239349241898</v>
      </c>
      <c r="I74" s="23">
        <f>9-3</f>
        <v>6</v>
      </c>
      <c r="J74" s="8">
        <v>87.63611089659433</v>
      </c>
      <c r="K74" s="23">
        <f>18-25</f>
        <v>-7</v>
      </c>
      <c r="L74" s="8">
        <v>56.964501763327924</v>
      </c>
      <c r="M74" s="8">
        <v>34.14163255849873</v>
      </c>
      <c r="N74" s="8">
        <v>63.0473395629006</v>
      </c>
      <c r="O74" s="8">
        <v>1.8431281694854171</v>
      </c>
      <c r="P74" s="23">
        <f t="shared" si="121"/>
        <v>32.29850438901331</v>
      </c>
      <c r="Q74" s="8">
        <v>0.9678997091152469</v>
      </c>
      <c r="R74" s="23">
        <f>26-25</f>
        <v>1</v>
      </c>
      <c r="S74" s="8">
        <v>49.68611238707702</v>
      </c>
      <c r="T74" s="23">
        <f>20-34</f>
        <v>-14</v>
      </c>
      <c r="U74" s="8">
        <v>45.57495023732966</v>
      </c>
      <c r="V74" s="20">
        <v>-3.017</v>
      </c>
      <c r="W74" s="23">
        <f>18-27</f>
        <v>-9</v>
      </c>
      <c r="X74" s="8">
        <v>54.95329964783341</v>
      </c>
      <c r="Y74" s="23">
        <f>9-3</f>
        <v>6</v>
      </c>
      <c r="Z74" s="8">
        <v>88.42443729903538</v>
      </c>
      <c r="AA74" s="23">
        <f>16-27</f>
        <v>-11</v>
      </c>
      <c r="AB74" s="8">
        <v>57.35721941509723</v>
      </c>
      <c r="AC74" s="8">
        <v>26.56561016689634</v>
      </c>
      <c r="AD74" s="8">
        <v>69.60649211453071</v>
      </c>
      <c r="AE74" s="8">
        <v>3.82789771857296</v>
      </c>
      <c r="AF74" s="23">
        <f t="shared" si="122"/>
        <v>22.737712448323382</v>
      </c>
      <c r="AG74" s="8">
        <v>0</v>
      </c>
      <c r="AH74" s="23">
        <f>13-29</f>
        <v>-16</v>
      </c>
      <c r="AI74" s="8">
        <v>58.163057497793766</v>
      </c>
      <c r="AJ74" s="23">
        <f>19-41</f>
        <v>-22</v>
      </c>
      <c r="AK74" s="8">
        <v>40.194148394542125</v>
      </c>
      <c r="AL74" s="20">
        <v>-3.271</v>
      </c>
      <c r="AM74" s="23">
        <f>14-23</f>
        <v>-9</v>
      </c>
      <c r="AN74" s="8">
        <v>62.70450071278256</v>
      </c>
      <c r="AO74" s="23">
        <f>8-7</f>
        <v>1</v>
      </c>
      <c r="AP74" s="8">
        <v>84.54280089606951</v>
      </c>
      <c r="AQ74" s="23">
        <f>10-29</f>
        <v>-19</v>
      </c>
      <c r="AR74" s="8">
        <v>61.29930079424343</v>
      </c>
      <c r="AS74" s="8">
        <v>25.972439074061505</v>
      </c>
      <c r="AT74" s="8">
        <v>68.69866268413548</v>
      </c>
      <c r="AU74" s="8">
        <v>3.794718620596022</v>
      </c>
      <c r="AV74" s="23">
        <f t="shared" si="123"/>
        <v>22.177720453465483</v>
      </c>
      <c r="AW74" s="8">
        <v>1.5341796212069785</v>
      </c>
      <c r="AX74" s="23">
        <f>17-32</f>
        <v>-15</v>
      </c>
      <c r="AY74" s="8">
        <v>51.138661742724004</v>
      </c>
      <c r="AZ74" s="23">
        <f>3-41</f>
        <v>-38</v>
      </c>
      <c r="BA74" s="8">
        <v>55.91312758287172</v>
      </c>
      <c r="BB74" s="20">
        <v>-2.992</v>
      </c>
      <c r="BC74" s="23">
        <f>19-26</f>
        <v>-7</v>
      </c>
      <c r="BD74" s="8">
        <v>55.28884199419678</v>
      </c>
      <c r="BE74" s="23">
        <f>7-8</f>
        <v>-1</v>
      </c>
      <c r="BF74" s="8">
        <v>84.17304141387497</v>
      </c>
      <c r="BG74" s="23">
        <f>8-25</f>
        <v>-17</v>
      </c>
      <c r="BH74" s="8">
        <v>66.61830651543129</v>
      </c>
      <c r="BI74" s="8">
        <v>8.75318737360415</v>
      </c>
      <c r="BJ74" s="8">
        <v>82.5815528004924</v>
      </c>
      <c r="BK74" s="8">
        <v>7.064978457750813</v>
      </c>
      <c r="BL74" s="23">
        <f t="shared" si="124"/>
        <v>1.6882089158533375</v>
      </c>
      <c r="BM74" s="8">
        <v>1.6002813681526424</v>
      </c>
      <c r="BN74" s="23">
        <f>10-37</f>
        <v>-27</v>
      </c>
      <c r="BO74" s="8">
        <v>53.52998379254457</v>
      </c>
      <c r="BP74" s="23">
        <f>6-36</f>
        <v>-30</v>
      </c>
      <c r="BQ74" s="8">
        <v>58.25607779578606</v>
      </c>
      <c r="BR74" s="20">
        <v>-3.975</v>
      </c>
      <c r="BS74" s="23">
        <f>13-26</f>
        <v>-13</v>
      </c>
      <c r="BT74" s="8">
        <v>61.00486223662885</v>
      </c>
      <c r="BU74" s="23">
        <f>5-7</f>
        <v>-2</v>
      </c>
      <c r="BV74" s="8">
        <v>88.34359805510535</v>
      </c>
      <c r="BW74" s="23">
        <f>7-30</f>
        <v>-23</v>
      </c>
      <c r="BX74" s="8">
        <v>62.79416531604538</v>
      </c>
      <c r="BY74" s="8">
        <v>12.188006482982171</v>
      </c>
      <c r="BZ74" s="8">
        <v>82.09400324149108</v>
      </c>
      <c r="CA74" s="8">
        <v>5.082658022690437</v>
      </c>
      <c r="CB74" s="23">
        <f t="shared" si="125"/>
        <v>7.105348460291734</v>
      </c>
      <c r="CC74" s="8">
        <v>0.6353322528363047</v>
      </c>
      <c r="CD74" s="23">
        <f>20-31</f>
        <v>-11</v>
      </c>
      <c r="CE74" s="8">
        <v>49.08449361052833</v>
      </c>
      <c r="CF74" s="23">
        <f>21-30</f>
        <v>-9</v>
      </c>
      <c r="CG74" s="8">
        <v>49.34197978256723</v>
      </c>
      <c r="CH74" s="20">
        <v>-3.115</v>
      </c>
      <c r="CI74" s="23">
        <f>18-22</f>
        <v>-4</v>
      </c>
      <c r="CJ74" s="8">
        <v>60.432958230020986</v>
      </c>
      <c r="CK74" s="23">
        <f>7-8</f>
        <v>-1</v>
      </c>
      <c r="CL74" s="8">
        <v>85.09441159641426</v>
      </c>
      <c r="CM74" s="23">
        <f>16-25</f>
        <v>-9</v>
      </c>
      <c r="CN74" s="8">
        <v>58.97386992180049</v>
      </c>
      <c r="CO74" s="8">
        <v>27.942017928666797</v>
      </c>
      <c r="CP74" s="8">
        <v>70.05531184436391</v>
      </c>
      <c r="CQ74" s="8">
        <v>1.7165744802593936</v>
      </c>
      <c r="CR74" s="23">
        <f t="shared" si="126"/>
        <v>26.225443448407404</v>
      </c>
      <c r="CS74" s="8">
        <v>0.2860957467098989</v>
      </c>
      <c r="CT74" s="23">
        <f>25-36</f>
        <v>-11</v>
      </c>
      <c r="CU74" s="8">
        <v>38.77092015611563</v>
      </c>
      <c r="CV74" s="23">
        <f>16-46</f>
        <v>-30</v>
      </c>
      <c r="CW74" s="8">
        <v>38.23509955679037</v>
      </c>
      <c r="CX74" s="20">
        <v>-5.255</v>
      </c>
      <c r="CY74" s="23">
        <f>28-26</f>
        <v>2</v>
      </c>
      <c r="CZ74" s="8">
        <v>46.26579347754184</v>
      </c>
      <c r="DA74" s="23">
        <f>14-11</f>
        <v>3</v>
      </c>
      <c r="DB74" s="8">
        <v>74.71720579480056</v>
      </c>
      <c r="DC74" s="23">
        <f>26-27</f>
        <v>-1</v>
      </c>
      <c r="DD74" s="8">
        <v>47.211748362770386</v>
      </c>
      <c r="DE74" s="8">
        <v>26.89687107230271</v>
      </c>
      <c r="DF74" s="8">
        <v>67.46709003109082</v>
      </c>
      <c r="DG74" s="8">
        <v>5.0142223986240655</v>
      </c>
      <c r="DH74" s="23">
        <f t="shared" si="127"/>
        <v>21.882648673678645</v>
      </c>
      <c r="DI74" s="8">
        <v>0.6218164979824039</v>
      </c>
      <c r="DJ74" s="23">
        <f>12-37</f>
        <v>-25</v>
      </c>
      <c r="DK74" s="8">
        <v>50.11857214178732</v>
      </c>
      <c r="DL74" s="23">
        <f>11-32</f>
        <v>-21</v>
      </c>
      <c r="DM74" s="8">
        <v>57.2890664003994</v>
      </c>
      <c r="DN74" s="20">
        <v>-3.296</v>
      </c>
      <c r="DO74" s="23">
        <f>17-25</f>
        <v>-8</v>
      </c>
      <c r="DP74" s="8">
        <v>57.84448327508736</v>
      </c>
      <c r="DQ74" s="23">
        <f>8-8</f>
        <v>0</v>
      </c>
      <c r="DR74" s="8">
        <v>84.40464303544682</v>
      </c>
      <c r="DS74" s="23">
        <f>13-31</f>
        <v>-18</v>
      </c>
      <c r="DT74" s="8">
        <v>56.07214178731902</v>
      </c>
      <c r="DU74" s="8">
        <v>16.6063404892661</v>
      </c>
      <c r="DV74" s="8">
        <v>81.36545182226659</v>
      </c>
      <c r="DW74" s="8">
        <v>1.2918122815776336</v>
      </c>
      <c r="DX74" s="23">
        <f t="shared" si="128"/>
        <v>15.314528207688465</v>
      </c>
      <c r="DY74" s="8">
        <v>0.7363954068896654</v>
      </c>
      <c r="DZ74" s="23">
        <f>12-26</f>
        <v>-14</v>
      </c>
      <c r="EA74" s="8">
        <v>62.624105287462484</v>
      </c>
      <c r="EB74" s="23">
        <f>16-28</f>
        <v>-12</v>
      </c>
      <c r="EC74" s="8">
        <v>55.83583468021243</v>
      </c>
      <c r="ED74" s="20">
        <v>-1.831</v>
      </c>
      <c r="EE74" s="23">
        <f>12-21</f>
        <v>-9</v>
      </c>
      <c r="EF74" s="8">
        <v>66.94758716231817</v>
      </c>
      <c r="EG74" s="23">
        <f>7-4</f>
        <v>3</v>
      </c>
      <c r="EH74" s="8">
        <v>89.37889632879242</v>
      </c>
      <c r="EI74" s="23">
        <f>11-16</f>
        <v>-5</v>
      </c>
      <c r="EJ74" s="8">
        <v>72.54098360655738</v>
      </c>
      <c r="EK74" s="8">
        <v>14.742553682752252</v>
      </c>
      <c r="EL74" s="8">
        <v>75.64650196259525</v>
      </c>
      <c r="EM74" s="8">
        <v>9.039482798429924</v>
      </c>
      <c r="EN74" s="23">
        <f t="shared" si="129"/>
        <v>5.703070884322328</v>
      </c>
      <c r="EO74" s="8">
        <v>0.5714615562225813</v>
      </c>
      <c r="EP74" s="23">
        <f>8-36</f>
        <v>-28</v>
      </c>
      <c r="EQ74" s="8">
        <v>56.225738102970965</v>
      </c>
      <c r="ER74" s="23">
        <f>6-38</f>
        <v>-32</v>
      </c>
      <c r="ES74" s="8">
        <v>55.57385669435037</v>
      </c>
      <c r="ET74" s="20">
        <v>-3.288</v>
      </c>
      <c r="EU74" s="23">
        <f>11-29</f>
        <v>-18</v>
      </c>
      <c r="EV74" s="8">
        <v>59.86405604788197</v>
      </c>
      <c r="EW74" s="23">
        <f>9-7</f>
        <v>2</v>
      </c>
      <c r="EX74" s="8">
        <v>83.17480938461776</v>
      </c>
      <c r="EY74" s="23">
        <f>9-29</f>
        <v>-20</v>
      </c>
      <c r="EZ74" s="8">
        <v>62.31305773364883</v>
      </c>
      <c r="FA74" s="8">
        <v>11.417590745294545</v>
      </c>
      <c r="FB74" s="8">
        <v>83.48953741938477</v>
      </c>
      <c r="FC74" s="8">
        <v>4.084504863978719</v>
      </c>
      <c r="FD74" s="23">
        <f t="shared" si="130"/>
        <v>7.333085881315826</v>
      </c>
      <c r="FE74" s="8">
        <v>1.0083669713419632</v>
      </c>
      <c r="FF74" s="23">
        <f>20-32</f>
        <v>-12</v>
      </c>
      <c r="FG74" s="8">
        <v>47.99051399226725</v>
      </c>
      <c r="FH74" s="23">
        <f>13-38</f>
        <v>-25</v>
      </c>
      <c r="FI74" s="8">
        <v>49.17216139019887</v>
      </c>
      <c r="FJ74" s="20">
        <v>-3.853</v>
      </c>
      <c r="FK74" s="23">
        <f>16-24</f>
        <v>-8</v>
      </c>
      <c r="FL74" s="8">
        <v>59.23330005384243</v>
      </c>
      <c r="FM74" s="23">
        <f>12-6</f>
        <v>6</v>
      </c>
      <c r="FN74" s="8">
        <v>81.74214076412957</v>
      </c>
      <c r="FO74" s="23">
        <f>12-27</f>
        <v>-15</v>
      </c>
      <c r="FP74" s="8">
        <v>61.52475985104496</v>
      </c>
      <c r="FQ74" s="8">
        <v>19.735053765768303</v>
      </c>
      <c r="FR74" s="8">
        <v>71.7373247077222</v>
      </c>
      <c r="FS74" s="8">
        <v>7.015028080134128</v>
      </c>
      <c r="FT74" s="16">
        <f>FQ74-FS74</f>
        <v>12.720025685634175</v>
      </c>
      <c r="FU74" s="23">
        <v>1.5125934463753763</v>
      </c>
    </row>
    <row r="75" spans="1:177" ht="12">
      <c r="A75" s="1" t="s">
        <v>32</v>
      </c>
      <c r="B75" s="23">
        <f>21-48</f>
        <v>-27</v>
      </c>
      <c r="C75" s="8">
        <v>31.03199732283059</v>
      </c>
      <c r="D75" s="23">
        <f>20-47</f>
        <v>-27</v>
      </c>
      <c r="E75" s="8">
        <v>33.783818570288574</v>
      </c>
      <c r="F75" s="20">
        <v>-3.045</v>
      </c>
      <c r="G75" s="23">
        <f>37-27</f>
        <v>10</v>
      </c>
      <c r="H75" s="8">
        <v>36.63603367055371</v>
      </c>
      <c r="I75" s="23">
        <f>5-9</f>
        <v>-4</v>
      </c>
      <c r="J75" s="8">
        <v>85.96030581512086</v>
      </c>
      <c r="K75" s="23">
        <f>28-27</f>
        <v>1</v>
      </c>
      <c r="L75" s="8">
        <v>44.70100651272942</v>
      </c>
      <c r="M75" s="8">
        <v>46.74234818647515</v>
      </c>
      <c r="N75" s="8">
        <v>40.40209025149947</v>
      </c>
      <c r="O75" s="8">
        <v>8.319818776224675</v>
      </c>
      <c r="P75" s="23">
        <f t="shared" si="121"/>
        <v>38.422529410250476</v>
      </c>
      <c r="Q75" s="8">
        <v>4.535742785800705</v>
      </c>
      <c r="R75" s="23">
        <f>17-35</f>
        <v>-18</v>
      </c>
      <c r="S75" s="8">
        <v>47.40468534680753</v>
      </c>
      <c r="T75" s="23">
        <f>13-46</f>
        <v>-33</v>
      </c>
      <c r="U75" s="8">
        <v>41.188179451845045</v>
      </c>
      <c r="V75" s="20">
        <v>-3.329</v>
      </c>
      <c r="W75" s="23">
        <f>29-19</f>
        <v>10</v>
      </c>
      <c r="X75" s="8">
        <v>51.28617363344051</v>
      </c>
      <c r="Y75" s="23">
        <f>7-5</f>
        <v>2</v>
      </c>
      <c r="Z75" s="8">
        <v>88.09523809523809</v>
      </c>
      <c r="AA75" s="23">
        <f>21-24</f>
        <v>-3</v>
      </c>
      <c r="AB75" s="8">
        <v>55.23656407900781</v>
      </c>
      <c r="AC75" s="8">
        <v>25.363650283264434</v>
      </c>
      <c r="AD75" s="8">
        <v>67.62364109630991</v>
      </c>
      <c r="AE75" s="8">
        <v>4.876741693461951</v>
      </c>
      <c r="AF75" s="23">
        <f t="shared" si="122"/>
        <v>20.486908589802482</v>
      </c>
      <c r="AG75" s="8">
        <v>2.135966926963712</v>
      </c>
      <c r="AH75" s="23">
        <f>14-42</f>
        <v>-28</v>
      </c>
      <c r="AI75" s="8">
        <v>44.33507569072025</v>
      </c>
      <c r="AJ75" s="23">
        <f>21-42</f>
        <v>-21</v>
      </c>
      <c r="AK75" s="8">
        <v>37.36338334125314</v>
      </c>
      <c r="AL75" s="20">
        <v>-2.625</v>
      </c>
      <c r="AM75" s="23">
        <f>37-20</f>
        <v>17</v>
      </c>
      <c r="AN75" s="8">
        <v>43.052067069445386</v>
      </c>
      <c r="AO75" s="23">
        <f>15-7</f>
        <v>8</v>
      </c>
      <c r="AP75" s="8">
        <v>78.11418097888806</v>
      </c>
      <c r="AQ75" s="23">
        <f>29-30</f>
        <v>-1</v>
      </c>
      <c r="AR75" s="8">
        <v>41.30065847532415</v>
      </c>
      <c r="AS75" s="8">
        <v>32.31280972099654</v>
      </c>
      <c r="AT75" s="8">
        <v>62.31756160477904</v>
      </c>
      <c r="AU75" s="8">
        <v>4.480347566356663</v>
      </c>
      <c r="AV75" s="23">
        <f t="shared" si="123"/>
        <v>27.832462154639877</v>
      </c>
      <c r="AW75" s="8">
        <v>0.8892811078677618</v>
      </c>
      <c r="AX75" s="23">
        <f>10-46</f>
        <v>-36</v>
      </c>
      <c r="AY75" s="8">
        <v>44.43858260793107</v>
      </c>
      <c r="AZ75" s="23">
        <f>7-53</f>
        <v>-46</v>
      </c>
      <c r="BA75" s="8">
        <v>39.51024355930713</v>
      </c>
      <c r="BB75" s="20">
        <v>-4.083</v>
      </c>
      <c r="BC75" s="23">
        <f>22-8</f>
        <v>14</v>
      </c>
      <c r="BD75" s="8">
        <v>69.67818517541545</v>
      </c>
      <c r="BE75" s="23">
        <f>10-3</f>
        <v>7</v>
      </c>
      <c r="BF75" s="8">
        <v>86.7844895805856</v>
      </c>
      <c r="BG75" s="23">
        <f>16-13</f>
        <v>3</v>
      </c>
      <c r="BH75" s="8">
        <v>70.72891937043876</v>
      </c>
      <c r="BI75" s="8">
        <v>22.90512617603095</v>
      </c>
      <c r="BJ75" s="8">
        <v>71.47630352589466</v>
      </c>
      <c r="BK75" s="8">
        <v>4.150180251472786</v>
      </c>
      <c r="BL75" s="23">
        <f t="shared" si="124"/>
        <v>18.754945924558164</v>
      </c>
      <c r="BM75" s="8">
        <v>1.4683900466016002</v>
      </c>
      <c r="BN75" s="23">
        <f>20-48</f>
        <v>-28</v>
      </c>
      <c r="BO75" s="8">
        <v>31.695299837925443</v>
      </c>
      <c r="BP75" s="23">
        <f>14-54</f>
        <v>-40</v>
      </c>
      <c r="BQ75" s="8">
        <v>32.583468395461914</v>
      </c>
      <c r="BR75" s="20">
        <v>-5.414</v>
      </c>
      <c r="BS75" s="23">
        <f>32-22</f>
        <v>10</v>
      </c>
      <c r="BT75" s="8">
        <v>45.705024311183145</v>
      </c>
      <c r="BU75" s="23">
        <f>16-9</f>
        <v>7</v>
      </c>
      <c r="BV75" s="8">
        <v>74.78768233387359</v>
      </c>
      <c r="BW75" s="23">
        <f>24-27</f>
        <v>-3</v>
      </c>
      <c r="BX75" s="8">
        <v>48.36952998379254</v>
      </c>
      <c r="BY75" s="8">
        <v>16.032414910858993</v>
      </c>
      <c r="BZ75" s="8">
        <v>71.20259319286872</v>
      </c>
      <c r="CA75" s="8">
        <v>10.294975688816855</v>
      </c>
      <c r="CB75" s="23">
        <f t="shared" si="125"/>
        <v>5.737439222042138</v>
      </c>
      <c r="CC75" s="8">
        <v>2.4700162074554295</v>
      </c>
      <c r="CD75" s="23">
        <f>28-50</f>
        <v>-22</v>
      </c>
      <c r="CE75" s="8">
        <v>22.611100514972343</v>
      </c>
      <c r="CF75" s="23">
        <f>21-43</f>
        <v>-22</v>
      </c>
      <c r="CG75" s="8">
        <v>36.46767118062178</v>
      </c>
      <c r="CH75" s="20">
        <v>-3.318</v>
      </c>
      <c r="CI75" s="23">
        <f>45-20</f>
        <v>25</v>
      </c>
      <c r="CJ75" s="8">
        <v>35.42818996757581</v>
      </c>
      <c r="CK75" s="23">
        <f>14-7</f>
        <v>7</v>
      </c>
      <c r="CL75" s="8">
        <v>79.69673850848751</v>
      </c>
      <c r="CM75" s="23">
        <f>31-23</f>
        <v>8</v>
      </c>
      <c r="CN75" s="8">
        <v>46.09956131985504</v>
      </c>
      <c r="CO75" s="8">
        <v>33.63532328819378</v>
      </c>
      <c r="CP75" s="8">
        <v>55.51211138661072</v>
      </c>
      <c r="CQ75" s="8">
        <v>8.506580202174328</v>
      </c>
      <c r="CR75" s="23">
        <f t="shared" si="126"/>
        <v>25.128743086019455</v>
      </c>
      <c r="CS75" s="8">
        <v>2.3459851230211712</v>
      </c>
      <c r="CT75" s="23">
        <f>9-56</f>
        <v>-47</v>
      </c>
      <c r="CU75" s="8">
        <v>34.19329231990474</v>
      </c>
      <c r="CV75" s="23">
        <f>8-51</f>
        <v>-43</v>
      </c>
      <c r="CW75" s="8">
        <v>41.38387246146723</v>
      </c>
      <c r="CX75" s="20">
        <v>-4.682</v>
      </c>
      <c r="CY75" s="23">
        <f>33-21</f>
        <v>12</v>
      </c>
      <c r="CZ75" s="8">
        <v>46.14672223324734</v>
      </c>
      <c r="DA75" s="23">
        <f>11-6</f>
        <v>5</v>
      </c>
      <c r="DB75" s="8">
        <v>83.28372031487729</v>
      </c>
      <c r="DC75" s="23">
        <f>28-27</f>
        <v>1</v>
      </c>
      <c r="DD75" s="8">
        <v>44.790633062115496</v>
      </c>
      <c r="DE75" s="8">
        <v>26.063372362241182</v>
      </c>
      <c r="DF75" s="8">
        <v>64.15955546735464</v>
      </c>
      <c r="DG75" s="8">
        <v>9.234636501951446</v>
      </c>
      <c r="DH75" s="23">
        <f t="shared" si="127"/>
        <v>16.828735860289736</v>
      </c>
      <c r="DI75" s="8">
        <v>0.5424356684527353</v>
      </c>
      <c r="DJ75" s="23">
        <f>23-40</f>
        <v>-17</v>
      </c>
      <c r="DK75" s="8">
        <v>36.50149775336995</v>
      </c>
      <c r="DL75" s="23">
        <f>14-48</f>
        <v>-34</v>
      </c>
      <c r="DM75" s="8">
        <v>38.1927109335996</v>
      </c>
      <c r="DN75" s="20">
        <v>-3.391</v>
      </c>
      <c r="DO75" s="23">
        <f>34-20</f>
        <v>14</v>
      </c>
      <c r="DP75" s="8">
        <v>45.6627558662007</v>
      </c>
      <c r="DQ75" s="23">
        <f>10-6</f>
        <v>4</v>
      </c>
      <c r="DR75" s="8">
        <v>84.07388916625062</v>
      </c>
      <c r="DS75" s="23">
        <f>21-23</f>
        <v>-2</v>
      </c>
      <c r="DT75" s="8">
        <v>56.55891163255118</v>
      </c>
      <c r="DU75" s="8">
        <v>25.249625561657513</v>
      </c>
      <c r="DV75" s="8">
        <v>70.12606090863704</v>
      </c>
      <c r="DW75" s="8">
        <v>3.5134797803295057</v>
      </c>
      <c r="DX75" s="23">
        <f t="shared" si="128"/>
        <v>21.73614578132801</v>
      </c>
      <c r="DY75" s="8">
        <v>1.1108337493759362</v>
      </c>
      <c r="DZ75" s="23">
        <f>13-44</f>
        <v>-31</v>
      </c>
      <c r="EA75" s="8">
        <v>43.731239898406834</v>
      </c>
      <c r="EB75" s="23">
        <f>10-43</f>
        <v>-33</v>
      </c>
      <c r="EC75" s="8">
        <v>46.78480720387901</v>
      </c>
      <c r="ED75" s="20">
        <v>-4.565</v>
      </c>
      <c r="EE75" s="23">
        <f>20-19</f>
        <v>1</v>
      </c>
      <c r="EF75" s="8">
        <v>60.47679519741399</v>
      </c>
      <c r="EG75" s="23">
        <f>20-6</f>
        <v>14</v>
      </c>
      <c r="EH75" s="8">
        <v>73.78203648118217</v>
      </c>
      <c r="EI75" s="23">
        <f>14-24</f>
        <v>-10</v>
      </c>
      <c r="EJ75" s="8">
        <v>62.110367120757324</v>
      </c>
      <c r="EK75" s="8">
        <v>27.499422766104825</v>
      </c>
      <c r="EL75" s="8">
        <v>66.71092126529669</v>
      </c>
      <c r="EM75" s="8">
        <v>4.069498960978988</v>
      </c>
      <c r="EN75" s="23">
        <f t="shared" si="129"/>
        <v>23.42992380512584</v>
      </c>
      <c r="EO75" s="8">
        <v>1.7201570076194872</v>
      </c>
      <c r="EP75" s="23">
        <v>-33</v>
      </c>
      <c r="EQ75" s="8">
        <v>43.6110982229852</v>
      </c>
      <c r="ER75" s="23">
        <f>10-45</f>
        <v>-35</v>
      </c>
      <c r="ES75" s="8">
        <v>45.00069595879924</v>
      </c>
      <c r="ET75" s="20">
        <v>-3.76</v>
      </c>
      <c r="EU75" s="23">
        <v>6</v>
      </c>
      <c r="EV75" s="8">
        <v>52.49307907638534</v>
      </c>
      <c r="EW75" s="23">
        <f>13-7</f>
        <v>6</v>
      </c>
      <c r="EX75" s="8">
        <v>79.36868804033467</v>
      </c>
      <c r="EY75" s="23">
        <f>20-25</f>
        <v>-5</v>
      </c>
      <c r="EZ75" s="8">
        <v>55.54369847971666</v>
      </c>
      <c r="FA75" s="8">
        <v>21.36206869886636</v>
      </c>
      <c r="FB75" s="8">
        <v>68.71742526175784</v>
      </c>
      <c r="FC75" s="8">
        <v>7.484650242039005</v>
      </c>
      <c r="FD75" s="23">
        <f t="shared" si="130"/>
        <v>13.877418456827353</v>
      </c>
      <c r="FE75" s="8">
        <v>2.4358557973367976</v>
      </c>
      <c r="FF75" s="23">
        <f>17-44</f>
        <v>-27</v>
      </c>
      <c r="FG75" s="8">
        <v>38.51519357570543</v>
      </c>
      <c r="FH75" s="23">
        <f>12-48</f>
        <v>-36</v>
      </c>
      <c r="FI75" s="8">
        <v>39.593079308904926</v>
      </c>
      <c r="FJ75" s="20">
        <v>-5.339</v>
      </c>
      <c r="FK75" s="23">
        <f>26-22</f>
        <v>4</v>
      </c>
      <c r="FL75" s="8">
        <v>51.5897946502091</v>
      </c>
      <c r="FM75" s="23">
        <f>11-10</f>
        <v>1</v>
      </c>
      <c r="FN75" s="8">
        <v>78.59533491884405</v>
      </c>
      <c r="FO75" s="23">
        <f>23-25</f>
        <v>-2</v>
      </c>
      <c r="FP75" s="8">
        <v>51.77544731153121</v>
      </c>
      <c r="FQ75" s="8">
        <v>28.22028678082705</v>
      </c>
      <c r="FR75" s="8">
        <v>62.24527435738566</v>
      </c>
      <c r="FS75" s="8">
        <v>6.7782837342655196</v>
      </c>
      <c r="FT75" s="112">
        <f>FQ75-FS75</f>
        <v>21.44200304656153</v>
      </c>
      <c r="FU75" s="23">
        <v>2.756155127521778</v>
      </c>
    </row>
    <row r="76" spans="1:177" ht="12">
      <c r="A76" s="1" t="s">
        <v>33</v>
      </c>
      <c r="B76" s="23">
        <f>34-26</f>
        <v>8</v>
      </c>
      <c r="C76" s="8">
        <v>39.56032640873169</v>
      </c>
      <c r="D76" s="23">
        <f>24-26</f>
        <v>-2</v>
      </c>
      <c r="E76" s="8">
        <v>50.057919530465675</v>
      </c>
      <c r="F76" s="20">
        <v>-1.393</v>
      </c>
      <c r="G76" s="23">
        <f>19-40</f>
        <v>-21</v>
      </c>
      <c r="H76" s="8">
        <v>41.36741575926069</v>
      </c>
      <c r="I76" s="23">
        <f>8-6</f>
        <v>2</v>
      </c>
      <c r="J76" s="8">
        <v>86.59870775092028</v>
      </c>
      <c r="K76" s="23">
        <f>16-34</f>
        <v>-18</v>
      </c>
      <c r="L76" s="8">
        <v>50.3616752902412</v>
      </c>
      <c r="M76" s="8">
        <v>41.34682214842845</v>
      </c>
      <c r="N76" s="8">
        <v>56.102144309727905</v>
      </c>
      <c r="O76" s="8">
        <v>1.964115633124823</v>
      </c>
      <c r="P76" s="23">
        <f t="shared" si="121"/>
        <v>39.38270651530363</v>
      </c>
      <c r="Q76" s="8">
        <v>0.58691790871882</v>
      </c>
      <c r="R76" s="23">
        <f>38-37</f>
        <v>1</v>
      </c>
      <c r="S76" s="8">
        <v>24.353085285561168</v>
      </c>
      <c r="T76" s="23">
        <f>22-36</f>
        <v>-14</v>
      </c>
      <c r="U76" s="8">
        <v>41.6475271780738</v>
      </c>
      <c r="V76" s="20">
        <v>-3.883</v>
      </c>
      <c r="W76" s="23">
        <f>16-36</f>
        <v>-20</v>
      </c>
      <c r="X76" s="8">
        <v>48.16260909508498</v>
      </c>
      <c r="Y76" s="23">
        <f>8-9</f>
        <v>-1</v>
      </c>
      <c r="Z76" s="8">
        <v>83.62425355994489</v>
      </c>
      <c r="AA76" s="23">
        <f>14-32</f>
        <v>-18</v>
      </c>
      <c r="AB76" s="8">
        <v>54.63175623947328</v>
      </c>
      <c r="AC76" s="8">
        <v>20.678303475731127</v>
      </c>
      <c r="AD76" s="8">
        <v>71.3749808605114</v>
      </c>
      <c r="AE76" s="8">
        <v>7.946715663757464</v>
      </c>
      <c r="AF76" s="23">
        <f t="shared" si="122"/>
        <v>12.731587811973663</v>
      </c>
      <c r="AG76" s="8">
        <v>0</v>
      </c>
      <c r="AH76" s="23">
        <f>33-43</f>
        <v>-10</v>
      </c>
      <c r="AI76" s="8">
        <v>24.3975290204331</v>
      </c>
      <c r="AJ76" s="23">
        <f>20-38</f>
        <v>-18</v>
      </c>
      <c r="AK76" s="8">
        <v>42.09490190754192</v>
      </c>
      <c r="AL76" s="20">
        <v>-2.971</v>
      </c>
      <c r="AM76" s="23">
        <f>17-41</f>
        <v>-24</v>
      </c>
      <c r="AN76" s="8">
        <v>42.101690312945486</v>
      </c>
      <c r="AO76" s="23">
        <f>17-2</f>
        <v>15</v>
      </c>
      <c r="AP76" s="8">
        <v>80.94494603217704</v>
      </c>
      <c r="AQ76" s="23">
        <f>11-32</f>
        <v>-21</v>
      </c>
      <c r="AR76" s="8">
        <v>56.812164822483204</v>
      </c>
      <c r="AS76" s="8">
        <v>40.68291358359921</v>
      </c>
      <c r="AT76" s="8">
        <v>56.5338402009368</v>
      </c>
      <c r="AU76" s="8">
        <v>2.7832462154639876</v>
      </c>
      <c r="AV76" s="23">
        <f t="shared" si="123"/>
        <v>37.89966736813522</v>
      </c>
      <c r="AW76" s="8">
        <v>0</v>
      </c>
      <c r="AX76" s="23">
        <f>37-26</f>
        <v>11</v>
      </c>
      <c r="AY76" s="8">
        <v>37.08344324276796</v>
      </c>
      <c r="AZ76" s="23">
        <f>30-39</f>
        <v>-9</v>
      </c>
      <c r="BA76" s="8">
        <v>31.11755913127583</v>
      </c>
      <c r="BB76" s="20">
        <v>-2.796</v>
      </c>
      <c r="BC76" s="23">
        <f>11-34</f>
        <v>-23</v>
      </c>
      <c r="BD76" s="8">
        <v>55.363580409742376</v>
      </c>
      <c r="BE76" s="23">
        <f>17-7</f>
        <v>10</v>
      </c>
      <c r="BF76" s="8">
        <v>75.59570913567221</v>
      </c>
      <c r="BG76" s="23">
        <f>9-34</f>
        <v>-25</v>
      </c>
      <c r="BH76" s="8">
        <v>57.438670535478764</v>
      </c>
      <c r="BI76" s="8">
        <v>11.285500747384155</v>
      </c>
      <c r="BJ76" s="8">
        <v>81.42530554822825</v>
      </c>
      <c r="BK76" s="8">
        <v>7.289193704387585</v>
      </c>
      <c r="BL76" s="23">
        <f t="shared" si="124"/>
        <v>3.9963070429965706</v>
      </c>
      <c r="BM76" s="8">
        <v>0</v>
      </c>
      <c r="BN76" s="23">
        <f>27-35</f>
        <v>-8</v>
      </c>
      <c r="BO76" s="8">
        <v>38.28200972447326</v>
      </c>
      <c r="BP76" s="23">
        <f>7-55</f>
        <v>-48</v>
      </c>
      <c r="BQ76" s="8">
        <v>37.536466774716374</v>
      </c>
      <c r="BR76" s="20">
        <v>-5.89</v>
      </c>
      <c r="BS76" s="23">
        <f>12-41</f>
        <v>-29</v>
      </c>
      <c r="BT76" s="8">
        <v>47.41004862236629</v>
      </c>
      <c r="BU76" s="23">
        <f>15-6</f>
        <v>9</v>
      </c>
      <c r="BV76" s="8">
        <v>78.78768233387358</v>
      </c>
      <c r="BW76" s="23">
        <f>8-42</f>
        <v>-34</v>
      </c>
      <c r="BX76" s="8">
        <v>50.16531604538087</v>
      </c>
      <c r="BY76" s="8">
        <v>16.46029173419773</v>
      </c>
      <c r="BZ76" s="8">
        <v>68.03241491085899</v>
      </c>
      <c r="CA76" s="8">
        <v>9.153970826580228</v>
      </c>
      <c r="CB76" s="23">
        <f t="shared" si="125"/>
        <v>7.306320907617504</v>
      </c>
      <c r="CC76" s="8">
        <v>6.353322528363046</v>
      </c>
      <c r="CD76" s="23">
        <f>33-31</f>
        <v>2</v>
      </c>
      <c r="CE76" s="8">
        <v>35.800114438298685</v>
      </c>
      <c r="CF76" s="23">
        <f>20-28</f>
        <v>-8</v>
      </c>
      <c r="CG76" s="8">
        <v>52.7369826435247</v>
      </c>
      <c r="CH76" s="20">
        <v>-1.981</v>
      </c>
      <c r="CI76" s="23">
        <f>23-39</f>
        <v>-16</v>
      </c>
      <c r="CJ76" s="8">
        <v>38.603852756055694</v>
      </c>
      <c r="CK76" s="23">
        <f>11-3</f>
        <v>8</v>
      </c>
      <c r="CL76" s="8">
        <v>86.51535380507343</v>
      </c>
      <c r="CM76" s="23">
        <f>15-37</f>
        <v>-22</v>
      </c>
      <c r="CN76" s="8">
        <v>48.46461949265687</v>
      </c>
      <c r="CO76" s="8">
        <v>24.098798397863817</v>
      </c>
      <c r="CP76" s="8">
        <v>62.416555407209614</v>
      </c>
      <c r="CQ76" s="8">
        <v>8.411214953271028</v>
      </c>
      <c r="CR76" s="23">
        <f t="shared" si="126"/>
        <v>15.68758344459279</v>
      </c>
      <c r="CS76" s="8">
        <v>5.07343124165554</v>
      </c>
      <c r="CT76" s="23">
        <f>43-30</f>
        <v>13</v>
      </c>
      <c r="CU76" s="8">
        <v>27.02917245485215</v>
      </c>
      <c r="CV76" s="23">
        <f>26-29</f>
        <v>-3</v>
      </c>
      <c r="CW76" s="8">
        <v>45.002315274194615</v>
      </c>
      <c r="CX76" s="20">
        <v>-2.276</v>
      </c>
      <c r="CY76" s="23">
        <f>30-28</f>
        <v>2</v>
      </c>
      <c r="CZ76" s="8">
        <v>41.893232784282596</v>
      </c>
      <c r="DA76" s="23">
        <f>11-3</f>
        <v>8</v>
      </c>
      <c r="DB76" s="8">
        <v>85.7709863068069</v>
      </c>
      <c r="DC76" s="23">
        <f>22-27</f>
        <v>-5</v>
      </c>
      <c r="DD76" s="8">
        <v>50.83680624462525</v>
      </c>
      <c r="DE76" s="8">
        <v>34.74895812661242</v>
      </c>
      <c r="DF76" s="8">
        <v>61.37461136468876</v>
      </c>
      <c r="DG76" s="8">
        <v>0.9062644704637163</v>
      </c>
      <c r="DH76" s="23">
        <f t="shared" si="127"/>
        <v>33.842693656148704</v>
      </c>
      <c r="DI76" s="8">
        <v>2.9701660382350994</v>
      </c>
      <c r="DJ76" s="23">
        <f>27-41</f>
        <v>-14</v>
      </c>
      <c r="DK76" s="8">
        <v>32.27034448327509</v>
      </c>
      <c r="DL76" s="23">
        <f>5-40</f>
        <v>-35</v>
      </c>
      <c r="DM76" s="8">
        <v>55.423115327009484</v>
      </c>
      <c r="DN76" s="20">
        <v>-3.656</v>
      </c>
      <c r="DO76" s="23">
        <f>16-34</f>
        <v>-18</v>
      </c>
      <c r="DP76" s="8">
        <v>49.893909136295555</v>
      </c>
      <c r="DQ76" s="23">
        <f>11-9</f>
        <v>2</v>
      </c>
      <c r="DR76" s="8">
        <v>79.96754867698452</v>
      </c>
      <c r="DS76" s="23">
        <f>7-35</f>
        <v>-28</v>
      </c>
      <c r="DT76" s="8">
        <v>58.28756864702945</v>
      </c>
      <c r="DU76" s="8">
        <v>21.792311532700946</v>
      </c>
      <c r="DV76" s="8">
        <v>70.41313030454319</v>
      </c>
      <c r="DW76" s="8">
        <v>6.77109335996006</v>
      </c>
      <c r="DX76" s="23">
        <f t="shared" si="128"/>
        <v>15.021218172740888</v>
      </c>
      <c r="DY76" s="8">
        <v>1.0234648027958064</v>
      </c>
      <c r="DZ76" s="23">
        <f>28-43</f>
        <v>-15</v>
      </c>
      <c r="EA76" s="8">
        <v>28.94827984299238</v>
      </c>
      <c r="EB76" s="23">
        <f>14-37</f>
        <v>-23</v>
      </c>
      <c r="EC76" s="8">
        <v>49.030247056107136</v>
      </c>
      <c r="ED76" s="20">
        <v>-4.62</v>
      </c>
      <c r="EE76" s="23">
        <f>18-36</f>
        <v>-18</v>
      </c>
      <c r="EF76" s="8">
        <v>46.12676056338028</v>
      </c>
      <c r="EG76" s="23">
        <f>15-5</f>
        <v>10</v>
      </c>
      <c r="EH76" s="8">
        <v>79.1387670283999</v>
      </c>
      <c r="EI76" s="23">
        <f>19-35</f>
        <v>-16</v>
      </c>
      <c r="EJ76" s="8">
        <v>45.45716924497806</v>
      </c>
      <c r="EK76" s="8">
        <v>22.50634957284692</v>
      </c>
      <c r="EL76" s="8">
        <v>63.553451858693144</v>
      </c>
      <c r="EM76" s="8">
        <v>10.61533133225583</v>
      </c>
      <c r="EN76" s="23">
        <f t="shared" si="129"/>
        <v>11.89101824059109</v>
      </c>
      <c r="EO76" s="8">
        <v>3.32486723620411</v>
      </c>
      <c r="EP76" s="23">
        <f>33-33</f>
        <v>0</v>
      </c>
      <c r="EQ76" s="8">
        <v>33.28549968857244</v>
      </c>
      <c r="ER76" s="23">
        <f>20-35</f>
        <v>-15</v>
      </c>
      <c r="ES76" s="8">
        <v>44.981741796021055</v>
      </c>
      <c r="ET76" s="20">
        <v>-3.034</v>
      </c>
      <c r="EU76" s="23">
        <f>18-37</f>
        <v>-19</v>
      </c>
      <c r="EV76" s="8">
        <v>45.698025182887356</v>
      </c>
      <c r="EW76" s="23">
        <f>12-6</f>
        <v>6</v>
      </c>
      <c r="EX76" s="8">
        <v>82.06910027967416</v>
      </c>
      <c r="EY76" s="23">
        <f>13-34</f>
        <v>-21</v>
      </c>
      <c r="EZ76" s="8">
        <v>52.42608175278758</v>
      </c>
      <c r="FA76" s="8">
        <v>27.499053504476006</v>
      </c>
      <c r="FB76" s="8">
        <v>65.0798109451521</v>
      </c>
      <c r="FC76" s="8">
        <v>5.632564331163517</v>
      </c>
      <c r="FD76" s="23">
        <f t="shared" si="130"/>
        <v>21.866489173312488</v>
      </c>
      <c r="FE76" s="8">
        <v>1.7885712192083636</v>
      </c>
      <c r="FF76" s="23">
        <f>32-31</f>
        <v>1</v>
      </c>
      <c r="FG76" s="8">
        <v>37.822366884291085</v>
      </c>
      <c r="FH76" s="23">
        <f>16-42</f>
        <v>-26</v>
      </c>
      <c r="FI76" s="8">
        <v>42.5538266454183</v>
      </c>
      <c r="FJ76" s="20">
        <v>-3.792</v>
      </c>
      <c r="FK76" s="23">
        <f>13-39</f>
        <v>-26</v>
      </c>
      <c r="FL76" s="8">
        <v>48.3677266500179</v>
      </c>
      <c r="FM76" s="23">
        <f>15-4</f>
        <v>11</v>
      </c>
      <c r="FN76" s="8">
        <v>80.37082732453636</v>
      </c>
      <c r="FO76" s="23">
        <f>11-41</f>
        <v>-30</v>
      </c>
      <c r="FP76" s="8">
        <v>48.88608403206736</v>
      </c>
      <c r="FQ76" s="22">
        <v>25.504265456700136</v>
      </c>
      <c r="FR76" s="22">
        <v>63.879216191329114</v>
      </c>
      <c r="FS76" s="22">
        <v>8.067480706463167</v>
      </c>
      <c r="FT76" s="112">
        <f>FQ76-FS76</f>
        <v>17.436784750236967</v>
      </c>
      <c r="FU76" s="23">
        <v>2.5490376455075845</v>
      </c>
    </row>
    <row r="77" spans="1:177" ht="12">
      <c r="A77" s="1" t="s">
        <v>9</v>
      </c>
      <c r="B77" s="24">
        <f aca="true" t="shared" si="142" ref="B77:O77">AVERAGE(B73:B76)</f>
        <v>-16</v>
      </c>
      <c r="C77" s="13">
        <f t="shared" si="142"/>
        <v>42.877828403737745</v>
      </c>
      <c r="D77" s="24">
        <f t="shared" si="142"/>
        <v>-15.5</v>
      </c>
      <c r="E77" s="13">
        <f t="shared" si="142"/>
        <v>48.25018662959817</v>
      </c>
      <c r="F77" s="21">
        <f t="shared" si="142"/>
        <v>-2.5465</v>
      </c>
      <c r="G77" s="24">
        <f t="shared" si="142"/>
        <v>-5.25</v>
      </c>
      <c r="H77" s="13">
        <f t="shared" si="142"/>
        <v>48.0892990449713</v>
      </c>
      <c r="I77" s="24">
        <f t="shared" si="142"/>
        <v>1.75</v>
      </c>
      <c r="J77" s="13">
        <f t="shared" si="142"/>
        <v>88.56282338404512</v>
      </c>
      <c r="K77" s="24">
        <f t="shared" si="142"/>
        <v>-7</v>
      </c>
      <c r="L77" s="13">
        <f t="shared" si="142"/>
        <v>56.93747264911061</v>
      </c>
      <c r="M77" s="13">
        <f t="shared" si="142"/>
        <v>37.855561562025386</v>
      </c>
      <c r="N77" s="13">
        <f t="shared" si="142"/>
        <v>56.18838005508792</v>
      </c>
      <c r="O77" s="13">
        <f t="shared" si="142"/>
        <v>4.351687388987567</v>
      </c>
      <c r="P77" s="24">
        <f t="shared" si="121"/>
        <v>33.50387417303782</v>
      </c>
      <c r="Q77" s="13">
        <f aca="true" t="shared" si="143" ref="Q77:AE77">AVERAGE(Q73:Q76)</f>
        <v>1.6043709938991426</v>
      </c>
      <c r="R77" s="24">
        <f t="shared" si="143"/>
        <v>-12.75</v>
      </c>
      <c r="S77" s="13">
        <f t="shared" si="143"/>
        <v>45.18833256775379</v>
      </c>
      <c r="T77" s="24">
        <f t="shared" si="143"/>
        <v>-19</v>
      </c>
      <c r="U77" s="13">
        <f t="shared" si="143"/>
        <v>50.051676619200734</v>
      </c>
      <c r="V77" s="21">
        <f t="shared" si="143"/>
        <v>-3.17225</v>
      </c>
      <c r="W77" s="24">
        <f t="shared" si="143"/>
        <v>-3</v>
      </c>
      <c r="X77" s="13">
        <f t="shared" si="143"/>
        <v>56.95911805236564</v>
      </c>
      <c r="Y77" s="24">
        <f t="shared" si="143"/>
        <v>2.25</v>
      </c>
      <c r="Z77" s="13">
        <f t="shared" si="143"/>
        <v>87.44640943193997</v>
      </c>
      <c r="AA77" s="24">
        <f t="shared" si="143"/>
        <v>-8.75</v>
      </c>
      <c r="AB77" s="13">
        <f t="shared" si="143"/>
        <v>63.623487980401165</v>
      </c>
      <c r="AC77" s="13">
        <f t="shared" si="143"/>
        <v>22.668810289389068</v>
      </c>
      <c r="AD77" s="13">
        <f t="shared" si="143"/>
        <v>71.19698361659776</v>
      </c>
      <c r="AE77" s="13">
        <f t="shared" si="143"/>
        <v>5.422217118358597</v>
      </c>
      <c r="AF77" s="24">
        <f t="shared" si="122"/>
        <v>17.24659317103047</v>
      </c>
      <c r="AG77" s="13">
        <f aca="true" t="shared" si="144" ref="AG77:AU77">AVERAGE(AG73:AG76)</f>
        <v>0.7119889756545705</v>
      </c>
      <c r="AH77" s="24">
        <f t="shared" si="144"/>
        <v>-21.75</v>
      </c>
      <c r="AI77" s="13">
        <f t="shared" si="144"/>
        <v>46.948611771094974</v>
      </c>
      <c r="AJ77" s="24">
        <f t="shared" si="144"/>
        <v>-18</v>
      </c>
      <c r="AK77" s="13">
        <f t="shared" si="144"/>
        <v>47.53241463580205</v>
      </c>
      <c r="AL77" s="21">
        <f t="shared" si="144"/>
        <v>-2.50375</v>
      </c>
      <c r="AM77" s="24">
        <f t="shared" si="144"/>
        <v>-3.5</v>
      </c>
      <c r="AN77" s="13">
        <f t="shared" si="144"/>
        <v>54.49901568121649</v>
      </c>
      <c r="AO77" s="24">
        <f t="shared" si="144"/>
        <v>7.75</v>
      </c>
      <c r="AP77" s="13">
        <f t="shared" si="144"/>
        <v>82.60301405199918</v>
      </c>
      <c r="AQ77" s="24">
        <f t="shared" si="144"/>
        <v>-10.75</v>
      </c>
      <c r="AR77" s="13">
        <f t="shared" si="144"/>
        <v>57.976376349195576</v>
      </c>
      <c r="AS77" s="13">
        <f t="shared" si="144"/>
        <v>30.693775032244922</v>
      </c>
      <c r="AT77" s="13">
        <f t="shared" si="144"/>
        <v>65.93578168488222</v>
      </c>
      <c r="AU77" s="13">
        <f t="shared" si="144"/>
        <v>2.7645781006041683</v>
      </c>
      <c r="AV77" s="24">
        <f t="shared" si="123"/>
        <v>27.929196931640753</v>
      </c>
      <c r="AW77" s="13">
        <f aca="true" t="shared" si="145" ref="AW77:BK77">AVERAGE(AW73:AW76)</f>
        <v>0.6058651822686851</v>
      </c>
      <c r="AX77" s="24">
        <f t="shared" si="145"/>
        <v>-19.5</v>
      </c>
      <c r="AY77" s="13">
        <f t="shared" si="145"/>
        <v>48.27662006506639</v>
      </c>
      <c r="AZ77" s="24">
        <f t="shared" si="145"/>
        <v>-30</v>
      </c>
      <c r="BA77" s="13">
        <f t="shared" si="145"/>
        <v>47.02914798206278</v>
      </c>
      <c r="BB77" s="21">
        <f t="shared" si="145"/>
        <v>-3.38225</v>
      </c>
      <c r="BC77" s="24">
        <f t="shared" si="145"/>
        <v>-5</v>
      </c>
      <c r="BD77" s="13">
        <f t="shared" si="145"/>
        <v>63.613382572760045</v>
      </c>
      <c r="BE77" s="24">
        <f t="shared" si="145"/>
        <v>5.75</v>
      </c>
      <c r="BF77" s="13">
        <f t="shared" si="145"/>
        <v>84.27745537676955</v>
      </c>
      <c r="BG77" s="24">
        <f t="shared" si="145"/>
        <v>-15</v>
      </c>
      <c r="BH77" s="13">
        <f t="shared" si="145"/>
        <v>64.86964741053372</v>
      </c>
      <c r="BI77" s="13">
        <f t="shared" si="145"/>
        <v>14.645432163896949</v>
      </c>
      <c r="BJ77" s="13">
        <f t="shared" si="145"/>
        <v>77.1970895981711</v>
      </c>
      <c r="BK77" s="13">
        <f t="shared" si="145"/>
        <v>6.862745098039215</v>
      </c>
      <c r="BL77" s="24">
        <f t="shared" si="124"/>
        <v>7.782687065857734</v>
      </c>
      <c r="BM77" s="13">
        <f aca="true" t="shared" si="146" ref="BM77:CA77">AVERAGE(BM73:BM76)</f>
        <v>1.2947331398927284</v>
      </c>
      <c r="BN77" s="24">
        <f t="shared" si="146"/>
        <v>-23</v>
      </c>
      <c r="BO77" s="13">
        <f t="shared" si="146"/>
        <v>46.29173419773095</v>
      </c>
      <c r="BP77" s="24">
        <f t="shared" si="146"/>
        <v>-35</v>
      </c>
      <c r="BQ77" s="13">
        <f t="shared" si="146"/>
        <v>49.0518638573744</v>
      </c>
      <c r="BR77" s="21">
        <f t="shared" si="146"/>
        <v>-4.606</v>
      </c>
      <c r="BS77" s="24">
        <f t="shared" si="146"/>
        <v>-5</v>
      </c>
      <c r="BT77" s="13">
        <f t="shared" si="146"/>
        <v>56.487844408427875</v>
      </c>
      <c r="BU77" s="24">
        <f t="shared" si="146"/>
        <v>5.75</v>
      </c>
      <c r="BV77" s="13">
        <f t="shared" si="146"/>
        <v>82.81685575364668</v>
      </c>
      <c r="BW77" s="24">
        <f t="shared" si="146"/>
        <v>-14</v>
      </c>
      <c r="BX77" s="13">
        <f t="shared" si="146"/>
        <v>59.910858995137765</v>
      </c>
      <c r="BY77" s="13">
        <f t="shared" si="146"/>
        <v>14.641815235008103</v>
      </c>
      <c r="BZ77" s="13">
        <f t="shared" si="146"/>
        <v>75.91896272285251</v>
      </c>
      <c r="CA77" s="13">
        <f t="shared" si="146"/>
        <v>7.074554294975689</v>
      </c>
      <c r="CB77" s="24">
        <f t="shared" si="125"/>
        <v>7.567260940032414</v>
      </c>
      <c r="CC77" s="13">
        <f aca="true" t="shared" si="147" ref="CC77:CQ77">AVERAGE(CC73:CC76)</f>
        <v>2.364667747163695</v>
      </c>
      <c r="CD77" s="24">
        <f t="shared" si="147"/>
        <v>-17.5</v>
      </c>
      <c r="CE77" s="13">
        <f t="shared" si="147"/>
        <v>40.02241083349228</v>
      </c>
      <c r="CF77" s="24">
        <f t="shared" si="147"/>
        <v>-14.25</v>
      </c>
      <c r="CG77" s="13">
        <f t="shared" si="147"/>
        <v>51.411405683768834</v>
      </c>
      <c r="CH77" s="21">
        <f t="shared" si="147"/>
        <v>-2.95325</v>
      </c>
      <c r="CI77" s="24">
        <f t="shared" si="147"/>
        <v>3</v>
      </c>
      <c r="CJ77" s="13">
        <f t="shared" si="147"/>
        <v>52.42227732214381</v>
      </c>
      <c r="CK77" s="24">
        <f t="shared" si="147"/>
        <v>5</v>
      </c>
      <c r="CL77" s="13">
        <f t="shared" si="147"/>
        <v>86.31031851993134</v>
      </c>
      <c r="CM77" s="24">
        <f t="shared" si="147"/>
        <v>-5.5</v>
      </c>
      <c r="CN77" s="13">
        <f t="shared" si="147"/>
        <v>59.305264161739466</v>
      </c>
      <c r="CO77" s="13">
        <f t="shared" si="147"/>
        <v>25.693782185771504</v>
      </c>
      <c r="CP77" s="13">
        <f t="shared" si="147"/>
        <v>65.86400915506388</v>
      </c>
      <c r="CQ77" s="13">
        <f t="shared" si="147"/>
        <v>6.515830631317948</v>
      </c>
      <c r="CR77" s="24">
        <f t="shared" si="126"/>
        <v>19.177951554453557</v>
      </c>
      <c r="CS77" s="13">
        <f aca="true" t="shared" si="148" ref="CS77:DG77">AVERAGE(CS73:CS76)</f>
        <v>1.9263780278466527</v>
      </c>
      <c r="CT77" s="24">
        <f t="shared" si="148"/>
        <v>-20.5</v>
      </c>
      <c r="CU77" s="13">
        <f t="shared" si="148"/>
        <v>38.721307137659586</v>
      </c>
      <c r="CV77" s="24">
        <f t="shared" si="148"/>
        <v>-22</v>
      </c>
      <c r="CW77" s="13">
        <f t="shared" si="148"/>
        <v>47.08440828206655</v>
      </c>
      <c r="CX77" s="21">
        <f t="shared" si="148"/>
        <v>-3.6025</v>
      </c>
      <c r="CY77" s="24">
        <f t="shared" si="148"/>
        <v>9.75</v>
      </c>
      <c r="CZ77" s="13">
        <f t="shared" si="148"/>
        <v>49.966924654362636</v>
      </c>
      <c r="DA77" s="24">
        <f t="shared" si="148"/>
        <v>4.5</v>
      </c>
      <c r="DB77" s="13">
        <f t="shared" si="148"/>
        <v>84.84156909439704</v>
      </c>
      <c r="DC77" s="24">
        <f t="shared" si="148"/>
        <v>0.5</v>
      </c>
      <c r="DD77" s="13">
        <f t="shared" si="148"/>
        <v>55.50869881590262</v>
      </c>
      <c r="DE77" s="13">
        <f t="shared" si="148"/>
        <v>26.602500496130183</v>
      </c>
      <c r="DF77" s="13">
        <f t="shared" si="148"/>
        <v>67.26202288813919</v>
      </c>
      <c r="DG77" s="13">
        <f t="shared" si="148"/>
        <v>5.101872064563075</v>
      </c>
      <c r="DH77" s="24">
        <f t="shared" si="127"/>
        <v>21.500628431567108</v>
      </c>
      <c r="DI77" s="13">
        <f aca="true" t="shared" si="149" ref="DI77:DW77">AVERAGE(DI73:DI76)</f>
        <v>1.0336045511675596</v>
      </c>
      <c r="DJ77" s="24">
        <f t="shared" si="149"/>
        <v>-23</v>
      </c>
      <c r="DK77" s="13">
        <f t="shared" si="149"/>
        <v>43.68603344982526</v>
      </c>
      <c r="DL77" s="24">
        <f t="shared" si="149"/>
        <v>-29</v>
      </c>
      <c r="DM77" s="13">
        <f t="shared" si="149"/>
        <v>51.77546180728906</v>
      </c>
      <c r="DN77" s="21">
        <f t="shared" si="149"/>
        <v>-3.2077500000000003</v>
      </c>
      <c r="DO77" s="24">
        <f t="shared" si="149"/>
        <v>-2.5</v>
      </c>
      <c r="DP77" s="13">
        <f t="shared" si="149"/>
        <v>58.38117823265102</v>
      </c>
      <c r="DQ77" s="24">
        <f t="shared" si="149"/>
        <v>3</v>
      </c>
      <c r="DR77" s="13">
        <f t="shared" si="149"/>
        <v>85.07239141288068</v>
      </c>
      <c r="DS77" s="24">
        <f t="shared" si="149"/>
        <v>-13</v>
      </c>
      <c r="DT77" s="13">
        <f t="shared" si="149"/>
        <v>62.65133549675486</v>
      </c>
      <c r="DU77" s="13">
        <f t="shared" si="149"/>
        <v>20.965426859710433</v>
      </c>
      <c r="DV77" s="13">
        <f t="shared" si="149"/>
        <v>74.16999500748877</v>
      </c>
      <c r="DW77" s="13">
        <f t="shared" si="149"/>
        <v>4.015851223165252</v>
      </c>
      <c r="DX77" s="24">
        <f t="shared" si="128"/>
        <v>16.94957563654518</v>
      </c>
      <c r="DY77" s="13">
        <f aca="true" t="shared" si="150" ref="DY77:EM77">AVERAGE(DY73:DY76)</f>
        <v>0.8487269096355468</v>
      </c>
      <c r="DZ77" s="24">
        <f t="shared" si="150"/>
        <v>-22.5</v>
      </c>
      <c r="EA77" s="13">
        <f t="shared" si="150"/>
        <v>50.60465250519511</v>
      </c>
      <c r="EB77" s="24">
        <f t="shared" si="150"/>
        <v>-21.75</v>
      </c>
      <c r="EC77" s="13">
        <f t="shared" si="150"/>
        <v>54.158970214731006</v>
      </c>
      <c r="ED77" s="21">
        <f t="shared" si="150"/>
        <v>-3.6615</v>
      </c>
      <c r="EE77" s="24">
        <f t="shared" si="150"/>
        <v>-1.75</v>
      </c>
      <c r="EF77" s="13">
        <f t="shared" si="150"/>
        <v>61.6615677672593</v>
      </c>
      <c r="EG77" s="24">
        <f t="shared" si="150"/>
        <v>10</v>
      </c>
      <c r="EH77" s="13">
        <f t="shared" si="150"/>
        <v>82.03792426691295</v>
      </c>
      <c r="EI77" s="24">
        <f t="shared" si="150"/>
        <v>-5.5</v>
      </c>
      <c r="EJ77" s="13">
        <f t="shared" si="150"/>
        <v>64.16676287231586</v>
      </c>
      <c r="EK77" s="13">
        <f t="shared" si="150"/>
        <v>19.38784345416763</v>
      </c>
      <c r="EL77" s="13">
        <f t="shared" si="150"/>
        <v>71.92334333872085</v>
      </c>
      <c r="EM77" s="13">
        <f t="shared" si="150"/>
        <v>7.284691757099976</v>
      </c>
      <c r="EN77" s="24">
        <f t="shared" si="129"/>
        <v>12.103151697067654</v>
      </c>
      <c r="EO77" s="13">
        <f aca="true" t="shared" si="151" ref="EO77:FC77">AVERAGE(EO73:EO76)</f>
        <v>1.4041214500115446</v>
      </c>
      <c r="EP77" s="24">
        <f t="shared" si="151"/>
        <v>-24</v>
      </c>
      <c r="EQ77" s="13">
        <f t="shared" si="151"/>
        <v>47.94225765197548</v>
      </c>
      <c r="ER77" s="24">
        <f t="shared" si="151"/>
        <v>-25</v>
      </c>
      <c r="ES77" s="13">
        <f t="shared" si="151"/>
        <v>52.771995169186205</v>
      </c>
      <c r="ET77" s="21">
        <f t="shared" si="151"/>
        <v>-3.20875</v>
      </c>
      <c r="EU77" s="24">
        <f t="shared" si="151"/>
        <v>-5.5</v>
      </c>
      <c r="EV77" s="13">
        <f t="shared" si="151"/>
        <v>57.56407036159223</v>
      </c>
      <c r="EW77" s="24">
        <f t="shared" si="151"/>
        <v>5</v>
      </c>
      <c r="EX77" s="13">
        <f t="shared" si="151"/>
        <v>83.94628824957111</v>
      </c>
      <c r="EY77" s="24">
        <f t="shared" si="151"/>
        <v>-12</v>
      </c>
      <c r="EZ77" s="13">
        <f t="shared" si="151"/>
        <v>61.66366145841703</v>
      </c>
      <c r="FA77" s="13">
        <f t="shared" si="151"/>
        <v>20.104881764229</v>
      </c>
      <c r="FB77" s="13">
        <f t="shared" si="151"/>
        <v>72.86079283134865</v>
      </c>
      <c r="FC77" s="13">
        <f t="shared" si="151"/>
        <v>5.606441021836071</v>
      </c>
      <c r="FD77" s="24">
        <f t="shared" si="130"/>
        <v>14.498440742392928</v>
      </c>
      <c r="FE77" s="13">
        <f aca="true" t="shared" si="152" ref="FE77:FU77">AVERAGE(FE73:FE76)</f>
        <v>1.4278843825862704</v>
      </c>
      <c r="FF77" s="24">
        <f t="shared" si="152"/>
        <v>-18.5</v>
      </c>
      <c r="FG77" s="13">
        <f t="shared" si="152"/>
        <v>44.60059425085521</v>
      </c>
      <c r="FH77" s="24">
        <f t="shared" si="152"/>
        <v>-27.75</v>
      </c>
      <c r="FI77" s="13">
        <f t="shared" si="152"/>
        <v>48.37779392148746</v>
      </c>
      <c r="FJ77" s="21">
        <f t="shared" si="152"/>
        <v>-4.1695</v>
      </c>
      <c r="FK77" s="24">
        <f t="shared" si="152"/>
        <v>-4</v>
      </c>
      <c r="FL77" s="13">
        <f t="shared" si="152"/>
        <v>56.3045244775616</v>
      </c>
      <c r="FM77" s="24">
        <f t="shared" si="152"/>
        <v>6.5</v>
      </c>
      <c r="FN77" s="13">
        <f t="shared" si="152"/>
        <v>81.68421731417374</v>
      </c>
      <c r="FO77" s="24">
        <f t="shared" si="152"/>
        <v>-10.25</v>
      </c>
      <c r="FP77" s="13">
        <f t="shared" si="152"/>
        <v>57.971407596201615</v>
      </c>
      <c r="FQ77" s="13">
        <f t="shared" si="152"/>
        <v>22.91768692206196</v>
      </c>
      <c r="FR77" s="13">
        <f t="shared" si="152"/>
        <v>68.22012669655508</v>
      </c>
      <c r="FS77" s="13">
        <f t="shared" si="152"/>
        <v>6.972154806451352</v>
      </c>
      <c r="FT77" s="13">
        <f t="shared" si="152"/>
        <v>15.945532115610607</v>
      </c>
      <c r="FU77" s="13">
        <f t="shared" si="152"/>
        <v>1.8900315749316146</v>
      </c>
    </row>
    <row r="78" spans="1:177" ht="12">
      <c r="A78" s="1" t="s">
        <v>297</v>
      </c>
      <c r="B78" s="23">
        <f>17-59</f>
        <v>-42</v>
      </c>
      <c r="C78" s="8">
        <v>23.462865546693816</v>
      </c>
      <c r="D78" s="23">
        <f>53-22</f>
        <v>31</v>
      </c>
      <c r="E78" s="8">
        <v>24.92505232196391</v>
      </c>
      <c r="F78" s="20">
        <v>2.809</v>
      </c>
      <c r="G78" s="23">
        <f>26-20</f>
        <v>6</v>
      </c>
      <c r="H78" s="8">
        <v>53.95384354318683</v>
      </c>
      <c r="I78" s="23">
        <f>11-1</f>
        <v>10</v>
      </c>
      <c r="J78" s="8">
        <v>87.93483794332259</v>
      </c>
      <c r="K78" s="23">
        <f>13-23</f>
        <v>-10</v>
      </c>
      <c r="L78" s="8">
        <v>63.80734204423327</v>
      </c>
      <c r="M78" s="8">
        <v>52.32196391198597</v>
      </c>
      <c r="N78" s="8">
        <v>41.42202613269981</v>
      </c>
      <c r="O78" s="8">
        <v>3.289213190791335</v>
      </c>
      <c r="P78" s="23">
        <f aca="true" t="shared" si="153" ref="P78:P87">M78-O78</f>
        <v>49.03275072119463</v>
      </c>
      <c r="Q78" s="8">
        <v>2.96679676452288</v>
      </c>
      <c r="R78" s="23">
        <f>20-46</f>
        <v>-26</v>
      </c>
      <c r="S78" s="8">
        <v>33.87394957983193</v>
      </c>
      <c r="T78" s="23">
        <f>52-17</f>
        <v>35</v>
      </c>
      <c r="U78" s="8">
        <v>31.092436974789916</v>
      </c>
      <c r="V78" s="20">
        <v>3.264</v>
      </c>
      <c r="W78" s="23">
        <f>38-15</f>
        <v>23</v>
      </c>
      <c r="X78" s="8">
        <v>46.94957983193277</v>
      </c>
      <c r="Y78" s="23">
        <f>13-0</f>
        <v>13</v>
      </c>
      <c r="Z78" s="8">
        <v>87.36974789915966</v>
      </c>
      <c r="AA78" s="23">
        <f>33-21</f>
        <v>12</v>
      </c>
      <c r="AB78" s="8">
        <v>63.10924369747899</v>
      </c>
      <c r="AC78" s="8">
        <v>39.94117647058823</v>
      </c>
      <c r="AD78" s="8">
        <v>47.621848739495796</v>
      </c>
      <c r="AE78" s="8">
        <v>11.605042016806722</v>
      </c>
      <c r="AF78" s="23">
        <f t="shared" si="122"/>
        <v>28.33613445378151</v>
      </c>
      <c r="AG78" s="8">
        <v>0.8319327731092436</v>
      </c>
      <c r="AH78" s="23">
        <f>23-46</f>
        <v>-23</v>
      </c>
      <c r="AI78" s="8">
        <v>30.604561895622645</v>
      </c>
      <c r="AJ78" s="23">
        <f>60-14</f>
        <v>46</v>
      </c>
      <c r="AK78" s="8">
        <v>25.289732043994977</v>
      </c>
      <c r="AL78" s="20">
        <v>3.954</v>
      </c>
      <c r="AM78" s="23">
        <f>33-20</f>
        <v>13</v>
      </c>
      <c r="AN78" s="8">
        <v>46.90337344061416</v>
      </c>
      <c r="AO78" s="23">
        <f>17-3</f>
        <v>14</v>
      </c>
      <c r="AP78" s="8">
        <v>79.27954528677937</v>
      </c>
      <c r="AQ78" s="23">
        <f>19-23</f>
        <v>-4</v>
      </c>
      <c r="AR78" s="8">
        <v>58.10142466966857</v>
      </c>
      <c r="AS78" s="8">
        <v>50.941167786225726</v>
      </c>
      <c r="AT78" s="8">
        <v>35.40267217834207</v>
      </c>
      <c r="AU78" s="8">
        <v>11.574518343544696</v>
      </c>
      <c r="AV78" s="23">
        <f t="shared" si="123"/>
        <v>39.36664944268103</v>
      </c>
      <c r="AW78" s="8">
        <v>2.0816416918875027</v>
      </c>
      <c r="AX78" s="23">
        <f>18-44</f>
        <v>-26</v>
      </c>
      <c r="AY78" s="8">
        <v>38.094345809715655</v>
      </c>
      <c r="AZ78" s="23">
        <f>59-16</f>
        <v>43</v>
      </c>
      <c r="BA78" s="8">
        <v>25.085492106619196</v>
      </c>
      <c r="BB78" s="20">
        <v>3.2</v>
      </c>
      <c r="BC78" s="23">
        <f>22-20</f>
        <v>2</v>
      </c>
      <c r="BD78" s="8">
        <v>58.415702440623974</v>
      </c>
      <c r="BE78" s="23">
        <f>10-1</f>
        <v>9</v>
      </c>
      <c r="BF78" s="8">
        <v>89.65662622382537</v>
      </c>
      <c r="BG78" s="23">
        <f>16-25</f>
        <v>-9</v>
      </c>
      <c r="BH78" s="8">
        <v>59.93816461329461</v>
      </c>
      <c r="BI78" s="8">
        <v>50.35367967395887</v>
      </c>
      <c r="BJ78" s="8">
        <v>36.31423619243922</v>
      </c>
      <c r="BK78" s="8">
        <v>13.182180165831264</v>
      </c>
      <c r="BL78" s="23">
        <f t="shared" si="124"/>
        <v>37.17149950812761</v>
      </c>
      <c r="BM78" s="8">
        <v>0.14990396777064693</v>
      </c>
      <c r="BN78" s="23">
        <f>12-53</f>
        <v>-41</v>
      </c>
      <c r="BO78" s="8">
        <v>34.73045730252846</v>
      </c>
      <c r="BP78" s="23">
        <f>58-19</f>
        <v>39</v>
      </c>
      <c r="BQ78" s="8">
        <v>22.592516867716213</v>
      </c>
      <c r="BR78" s="20">
        <v>3.99</v>
      </c>
      <c r="BS78" s="23">
        <f>20-29</f>
        <v>-9</v>
      </c>
      <c r="BT78" s="8">
        <v>51.632249710352355</v>
      </c>
      <c r="BU78" s="23">
        <f>13-4</f>
        <v>9</v>
      </c>
      <c r="BV78" s="8">
        <v>82.36897703264499</v>
      </c>
      <c r="BW78" s="23">
        <f>18-31</f>
        <v>-13</v>
      </c>
      <c r="BX78" s="8">
        <v>51.816261159953655</v>
      </c>
      <c r="BY78" s="8">
        <v>40.35984461255367</v>
      </c>
      <c r="BZ78" s="8">
        <v>46.93655012608192</v>
      </c>
      <c r="CA78" s="8">
        <v>8.91433244735228</v>
      </c>
      <c r="CB78" s="23">
        <f t="shared" si="125"/>
        <v>31.445512165201393</v>
      </c>
      <c r="CC78" s="8">
        <v>3.789272814012131</v>
      </c>
      <c r="CD78" s="23">
        <f>17-53</f>
        <v>-36</v>
      </c>
      <c r="CE78" s="8">
        <v>29.41731293229931</v>
      </c>
      <c r="CF78" s="23">
        <f>46-26</f>
        <v>20</v>
      </c>
      <c r="CG78" s="8">
        <v>28.68371410605743</v>
      </c>
      <c r="CH78" s="20">
        <v>2.408</v>
      </c>
      <c r="CI78" s="23">
        <f>26-22</f>
        <v>4</v>
      </c>
      <c r="CJ78" s="8">
        <v>52.242716411653745</v>
      </c>
      <c r="CK78" s="23">
        <f>16-4</f>
        <v>12</v>
      </c>
      <c r="CL78" s="8">
        <v>80.2347516243974</v>
      </c>
      <c r="CM78" s="23">
        <f>23-26</f>
        <v>-3</v>
      </c>
      <c r="CN78" s="8">
        <v>50.356319429888906</v>
      </c>
      <c r="CO78" s="8">
        <v>49.832320268287575</v>
      </c>
      <c r="CP78" s="8">
        <v>41.343533850345835</v>
      </c>
      <c r="CQ78" s="8">
        <v>5.376231398029764</v>
      </c>
      <c r="CR78" s="23">
        <f t="shared" si="126"/>
        <v>44.45608887025781</v>
      </c>
      <c r="CS78" s="8">
        <v>3.4479144833368265</v>
      </c>
      <c r="CT78" s="23">
        <f>9-55</f>
        <v>-46</v>
      </c>
      <c r="CU78" s="8">
        <v>35.18724508713385</v>
      </c>
      <c r="CV78" s="23">
        <f>44-26</f>
        <v>18</v>
      </c>
      <c r="CW78" s="8">
        <v>30.263255469039674</v>
      </c>
      <c r="CX78" s="20">
        <v>0.598</v>
      </c>
      <c r="CY78" s="23">
        <f>25-13</f>
        <v>12</v>
      </c>
      <c r="CZ78" s="8">
        <v>61.80941787170931</v>
      </c>
      <c r="DA78" s="23">
        <f>17-1</f>
        <v>16</v>
      </c>
      <c r="DB78" s="8">
        <v>81.49796069707081</v>
      </c>
      <c r="DC78" s="23">
        <f>15-24</f>
        <v>-9</v>
      </c>
      <c r="DD78" s="8">
        <v>60.62291434927698</v>
      </c>
      <c r="DE78" s="8">
        <v>52.76974416017798</v>
      </c>
      <c r="DF78" s="8">
        <v>37.55283648498332</v>
      </c>
      <c r="DG78" s="8">
        <v>6.488691138301816</v>
      </c>
      <c r="DH78" s="23">
        <f t="shared" si="127"/>
        <v>46.28105302187616</v>
      </c>
      <c r="DI78" s="8">
        <v>3.188728216536893</v>
      </c>
      <c r="DJ78" s="23">
        <f>15-46</f>
        <v>-31</v>
      </c>
      <c r="DK78" s="8">
        <v>38.77592243468893</v>
      </c>
      <c r="DL78" s="23">
        <f>49-24</f>
        <v>25</v>
      </c>
      <c r="DM78" s="8">
        <v>26.514947481820627</v>
      </c>
      <c r="DN78" s="20">
        <v>3.568</v>
      </c>
      <c r="DO78" s="23">
        <f>13-22</f>
        <v>-9</v>
      </c>
      <c r="DP78" s="8">
        <v>64.44249932669001</v>
      </c>
      <c r="DQ78" s="23">
        <f>21-4</f>
        <v>17</v>
      </c>
      <c r="DR78" s="8">
        <v>74.71720980339349</v>
      </c>
      <c r="DS78" s="23">
        <f>8-17</f>
        <v>-9</v>
      </c>
      <c r="DT78" s="8">
        <v>75.2289253972529</v>
      </c>
      <c r="DU78" s="8">
        <v>45.46189065445731</v>
      </c>
      <c r="DV78" s="8">
        <v>45.40802585510369</v>
      </c>
      <c r="DW78" s="8">
        <v>8.43657419876111</v>
      </c>
      <c r="DX78" s="23">
        <f t="shared" si="128"/>
        <v>37.0253164556962</v>
      </c>
      <c r="DY78" s="8">
        <v>0.6935092916778884</v>
      </c>
      <c r="DZ78" s="23">
        <f>14-47</f>
        <v>-33</v>
      </c>
      <c r="EA78" s="8">
        <v>38.34581652903143</v>
      </c>
      <c r="EB78" s="23">
        <f>47-22</f>
        <v>25</v>
      </c>
      <c r="EC78" s="8">
        <v>30.971128608923888</v>
      </c>
      <c r="ED78" s="20">
        <v>2.655</v>
      </c>
      <c r="EE78" s="23">
        <f>37-26</f>
        <v>11</v>
      </c>
      <c r="EF78" s="8">
        <v>37.48159528839383</v>
      </c>
      <c r="EG78" s="23">
        <f>19-2</f>
        <v>17</v>
      </c>
      <c r="EH78" s="8">
        <v>79.47634594456181</v>
      </c>
      <c r="EI78" s="23">
        <f>29-29</f>
        <v>0</v>
      </c>
      <c r="EJ78" s="8">
        <v>41.79629985276231</v>
      </c>
      <c r="EK78" s="8">
        <v>51.94289738172972</v>
      </c>
      <c r="EL78" s="8">
        <v>41.9307342679726</v>
      </c>
      <c r="EM78" s="8">
        <v>3.8345816529031436</v>
      </c>
      <c r="EN78" s="23">
        <f t="shared" si="129"/>
        <v>48.108315728826575</v>
      </c>
      <c r="EO78" s="8">
        <v>2.291786697394533</v>
      </c>
      <c r="EP78" s="23">
        <f>16-51</f>
        <v>-35</v>
      </c>
      <c r="EQ78" s="8">
        <v>32.59737235988691</v>
      </c>
      <c r="ER78" s="23">
        <f>53-21</f>
        <v>32</v>
      </c>
      <c r="ES78" s="8">
        <v>26.744054548478296</v>
      </c>
      <c r="ET78" s="20">
        <v>2.954</v>
      </c>
      <c r="EU78" s="23">
        <f>26-21</f>
        <v>5</v>
      </c>
      <c r="EV78" s="8">
        <v>53.09163479128555</v>
      </c>
      <c r="EW78" s="23">
        <f>14-2</f>
        <v>12</v>
      </c>
      <c r="EX78" s="8">
        <v>83.5602860468984</v>
      </c>
      <c r="EY78" s="23">
        <f>17-24</f>
        <v>-7</v>
      </c>
      <c r="EZ78" s="8">
        <v>59.21969067021453</v>
      </c>
      <c r="FA78" s="25">
        <v>48.935306835190424</v>
      </c>
      <c r="FB78" s="25">
        <v>41.27789788790953</v>
      </c>
      <c r="FC78" s="25">
        <v>7.632795609512723</v>
      </c>
      <c r="FD78" s="23">
        <f t="shared" si="130"/>
        <v>41.302511225677705</v>
      </c>
      <c r="FE78" s="8">
        <v>2.1539996673873274</v>
      </c>
      <c r="FF78" s="125" t="s">
        <v>193</v>
      </c>
      <c r="FG78" s="125" t="s">
        <v>193</v>
      </c>
      <c r="FH78" s="125" t="s">
        <v>193</v>
      </c>
      <c r="FI78" s="125" t="s">
        <v>193</v>
      </c>
      <c r="FJ78" s="125" t="s">
        <v>193</v>
      </c>
      <c r="FK78" s="125" t="s">
        <v>193</v>
      </c>
      <c r="FL78" s="125" t="s">
        <v>193</v>
      </c>
      <c r="FM78" s="125" t="s">
        <v>193</v>
      </c>
      <c r="FN78" s="125" t="s">
        <v>193</v>
      </c>
      <c r="FO78" s="125" t="s">
        <v>193</v>
      </c>
      <c r="FP78" s="125" t="s">
        <v>193</v>
      </c>
      <c r="FQ78" s="125" t="s">
        <v>193</v>
      </c>
      <c r="FR78" s="125" t="s">
        <v>193</v>
      </c>
      <c r="FS78" s="125" t="s">
        <v>193</v>
      </c>
      <c r="FT78" s="125" t="s">
        <v>193</v>
      </c>
      <c r="FU78" s="125" t="s">
        <v>193</v>
      </c>
    </row>
    <row r="79" spans="1:177" ht="12">
      <c r="A79" s="1" t="s">
        <v>36</v>
      </c>
      <c r="B79" s="23">
        <f>49-26</f>
        <v>23</v>
      </c>
      <c r="C79" s="8">
        <v>25.275750890887494</v>
      </c>
      <c r="D79" s="23">
        <f>37-38</f>
        <v>-1</v>
      </c>
      <c r="E79" s="8">
        <v>24.274563040895977</v>
      </c>
      <c r="F79" s="20">
        <v>-0.347</v>
      </c>
      <c r="G79" s="23">
        <f>38-29</f>
        <v>9</v>
      </c>
      <c r="H79" s="8">
        <v>32.78748798008937</v>
      </c>
      <c r="I79" s="23">
        <f>8-2</f>
        <v>6</v>
      </c>
      <c r="J79" s="8">
        <v>90.25680185530855</v>
      </c>
      <c r="K79" s="23">
        <f>25-21</f>
        <v>4</v>
      </c>
      <c r="L79" s="8">
        <v>54.09242604219696</v>
      </c>
      <c r="M79" s="8">
        <v>63.97420668589853</v>
      </c>
      <c r="N79" s="8">
        <v>31.68731263080491</v>
      </c>
      <c r="O79" s="8">
        <v>1.2076474913739466</v>
      </c>
      <c r="P79" s="23">
        <f t="shared" si="153"/>
        <v>62.76655919452458</v>
      </c>
      <c r="Q79" s="8">
        <v>3.1308331919226204</v>
      </c>
      <c r="R79" s="23">
        <f>38-33</f>
        <v>5</v>
      </c>
      <c r="S79" s="8">
        <v>29.30252100840336</v>
      </c>
      <c r="T79" s="23">
        <f>37-26</f>
        <v>11</v>
      </c>
      <c r="U79" s="8">
        <v>37.36974789915967</v>
      </c>
      <c r="V79" s="20">
        <v>-0.723</v>
      </c>
      <c r="W79" s="23">
        <f>35-22</f>
        <v>13</v>
      </c>
      <c r="X79" s="8">
        <v>43.32773109243698</v>
      </c>
      <c r="Y79" s="23">
        <f>13-1</f>
        <v>12</v>
      </c>
      <c r="Z79" s="8">
        <v>86.07563025210084</v>
      </c>
      <c r="AA79" s="23">
        <f>33-21</f>
        <v>12</v>
      </c>
      <c r="AB79" s="8">
        <v>46.168067226890756</v>
      </c>
      <c r="AC79" s="8">
        <v>39.621848739495796</v>
      </c>
      <c r="AD79" s="8">
        <v>47.36974789915966</v>
      </c>
      <c r="AE79" s="8">
        <v>10.352941176470589</v>
      </c>
      <c r="AF79" s="23">
        <f t="shared" si="122"/>
        <v>29.26890756302521</v>
      </c>
      <c r="AG79" s="8">
        <v>2.6554621848739495</v>
      </c>
      <c r="AH79" s="23">
        <f>38-21</f>
        <v>17</v>
      </c>
      <c r="AI79" s="8">
        <v>40.842991068133166</v>
      </c>
      <c r="AJ79" s="23">
        <f>32-32</f>
        <v>0</v>
      </c>
      <c r="AK79" s="8">
        <v>35.96368199601388</v>
      </c>
      <c r="AL79" s="20">
        <v>0.664</v>
      </c>
      <c r="AM79" s="23">
        <f>32-22</f>
        <v>10</v>
      </c>
      <c r="AN79" s="8">
        <v>45.08747324130804</v>
      </c>
      <c r="AO79" s="23">
        <f>11-3</f>
        <v>8</v>
      </c>
      <c r="AP79" s="8">
        <v>85.30301911862405</v>
      </c>
      <c r="AQ79" s="23">
        <f>30-19</f>
        <v>11</v>
      </c>
      <c r="AR79" s="8">
        <v>50.54993725548091</v>
      </c>
      <c r="AS79" s="8">
        <v>44.083560936000595</v>
      </c>
      <c r="AT79" s="8">
        <v>43.9137816490736</v>
      </c>
      <c r="AU79" s="8">
        <v>10.762530449546025</v>
      </c>
      <c r="AV79" s="23">
        <f t="shared" si="123"/>
        <v>33.32103048645457</v>
      </c>
      <c r="AW79" s="8">
        <v>1.2401269653797888</v>
      </c>
      <c r="AX79" s="23">
        <f>24-44</f>
        <v>-20</v>
      </c>
      <c r="AY79" s="8">
        <v>32.19656157773926</v>
      </c>
      <c r="AZ79" s="23">
        <f>32-35</f>
        <v>-3</v>
      </c>
      <c r="BA79" s="8">
        <v>33.6347027685389</v>
      </c>
      <c r="BB79" s="20">
        <v>0.068</v>
      </c>
      <c r="BC79" s="23">
        <f>35-34</f>
        <v>1</v>
      </c>
      <c r="BD79" s="8">
        <v>31.19407879327306</v>
      </c>
      <c r="BE79" s="23">
        <f>20-7</f>
        <v>13</v>
      </c>
      <c r="BF79" s="8">
        <v>72.8533283365344</v>
      </c>
      <c r="BG79" s="23">
        <f>13-33</f>
        <v>-20</v>
      </c>
      <c r="BH79" s="8">
        <v>53.890476413547574</v>
      </c>
      <c r="BI79" s="8">
        <v>47.68351524804422</v>
      </c>
      <c r="BJ79" s="8">
        <v>37.65400290438938</v>
      </c>
      <c r="BK79" s="8">
        <v>10.821192673443575</v>
      </c>
      <c r="BL79" s="23">
        <f t="shared" si="124"/>
        <v>36.86232257460065</v>
      </c>
      <c r="BM79" s="8">
        <v>3.841289174122828</v>
      </c>
      <c r="BN79" s="23">
        <f>30-31</f>
        <v>-1</v>
      </c>
      <c r="BO79" s="8">
        <v>38.47202344442173</v>
      </c>
      <c r="BP79" s="23">
        <f>34-32</f>
        <v>2</v>
      </c>
      <c r="BQ79" s="8">
        <v>34.04211817624208</v>
      </c>
      <c r="BR79" s="20">
        <v>0.449</v>
      </c>
      <c r="BS79" s="23">
        <f>31-22</f>
        <v>9</v>
      </c>
      <c r="BT79" s="8">
        <v>47.84297689634022</v>
      </c>
      <c r="BU79" s="23">
        <f>8-6</f>
        <v>2</v>
      </c>
      <c r="BV79" s="8">
        <v>86.77843658420228</v>
      </c>
      <c r="BW79" s="23">
        <f>20-27</f>
        <v>-7</v>
      </c>
      <c r="BX79" s="8">
        <v>53.24746132351939</v>
      </c>
      <c r="BY79" s="8">
        <v>34.38969535882232</v>
      </c>
      <c r="BZ79" s="8">
        <v>57.69099706944728</v>
      </c>
      <c r="CA79" s="8">
        <v>4.879711033871737</v>
      </c>
      <c r="CB79" s="23">
        <f t="shared" si="125"/>
        <v>29.509984324950587</v>
      </c>
      <c r="CC79" s="8">
        <v>3.0395965378586522</v>
      </c>
      <c r="CD79" s="23">
        <f>32-28</f>
        <v>4</v>
      </c>
      <c r="CE79" s="8">
        <v>40.37937539299937</v>
      </c>
      <c r="CF79" s="23">
        <f>29-40</f>
        <v>-11</v>
      </c>
      <c r="CG79" s="8">
        <v>31.26178998113603</v>
      </c>
      <c r="CH79" s="20">
        <v>-1.375</v>
      </c>
      <c r="CI79" s="23">
        <f>27-16</f>
        <v>11</v>
      </c>
      <c r="CJ79" s="8">
        <v>57.29406832949068</v>
      </c>
      <c r="CK79" s="23">
        <f>18-1</f>
        <v>17</v>
      </c>
      <c r="CL79" s="8">
        <v>81.5237895619367</v>
      </c>
      <c r="CM79" s="23">
        <f>22-19</f>
        <v>3</v>
      </c>
      <c r="CN79" s="8">
        <v>59.01278557954307</v>
      </c>
      <c r="CO79" s="8">
        <v>48.679522112764616</v>
      </c>
      <c r="CP79" s="8">
        <v>45.9756864389017</v>
      </c>
      <c r="CQ79" s="8">
        <v>4.076713477258436</v>
      </c>
      <c r="CR79" s="23">
        <f t="shared" si="126"/>
        <v>44.60280863550618</v>
      </c>
      <c r="CS79" s="8">
        <v>1.2680779710752463</v>
      </c>
      <c r="CT79" s="23">
        <f>34-31</f>
        <v>3</v>
      </c>
      <c r="CU79" s="8">
        <v>35.06859473489062</v>
      </c>
      <c r="CV79" s="23">
        <f>37-40</f>
        <v>-3</v>
      </c>
      <c r="CW79" s="8">
        <v>23.299962921764923</v>
      </c>
      <c r="CX79" s="20">
        <v>-0.844</v>
      </c>
      <c r="CY79" s="23">
        <f>31-23</f>
        <v>8</v>
      </c>
      <c r="CZ79" s="8">
        <v>45.06488691138302</v>
      </c>
      <c r="DA79" s="23">
        <f>14-1</f>
        <v>13</v>
      </c>
      <c r="DB79" s="8">
        <v>84.990730441231</v>
      </c>
      <c r="DC79" s="23">
        <f>24-30</f>
        <v>-6</v>
      </c>
      <c r="DD79" s="8">
        <v>46.11049314052651</v>
      </c>
      <c r="DE79" s="8">
        <v>52.76974416017798</v>
      </c>
      <c r="DF79" s="8">
        <v>38.65776789024842</v>
      </c>
      <c r="DG79" s="8">
        <v>7.897664071190211</v>
      </c>
      <c r="DH79" s="23">
        <f t="shared" si="127"/>
        <v>44.872080088987765</v>
      </c>
      <c r="DI79" s="8">
        <v>0.674823878383389</v>
      </c>
      <c r="DJ79" s="23">
        <f>33-27</f>
        <v>6</v>
      </c>
      <c r="DK79" s="8">
        <v>40.27067061675195</v>
      </c>
      <c r="DL79" s="23">
        <f>28-39</f>
        <v>-11</v>
      </c>
      <c r="DM79" s="8">
        <v>32.615136008618364</v>
      </c>
      <c r="DN79" s="20">
        <v>-1.225</v>
      </c>
      <c r="DO79" s="23">
        <f>24-23</f>
        <v>1</v>
      </c>
      <c r="DP79" s="8">
        <v>53.33961755992459</v>
      </c>
      <c r="DQ79" s="23">
        <f>19-5</f>
        <v>14</v>
      </c>
      <c r="DR79" s="8">
        <v>76.77753837866955</v>
      </c>
      <c r="DS79" s="23">
        <f>17-27</f>
        <v>-10</v>
      </c>
      <c r="DT79" s="8">
        <v>56.45030972259628</v>
      </c>
      <c r="DU79" s="8">
        <v>40.09561001885268</v>
      </c>
      <c r="DV79" s="8">
        <v>47.01723673579316</v>
      </c>
      <c r="DW79" s="8">
        <v>7.635335308375976</v>
      </c>
      <c r="DX79" s="23">
        <f t="shared" si="128"/>
        <v>32.4602747104767</v>
      </c>
      <c r="DY79" s="8">
        <v>5.251817936978185</v>
      </c>
      <c r="DZ79" s="23">
        <f>21-32</f>
        <v>-11</v>
      </c>
      <c r="EA79" s="8">
        <v>47.11606171179822</v>
      </c>
      <c r="EB79" s="23">
        <f>14-42</f>
        <v>-28</v>
      </c>
      <c r="EC79" s="8">
        <v>44.01766852314192</v>
      </c>
      <c r="ED79" s="20">
        <v>-3.221</v>
      </c>
      <c r="EE79" s="23">
        <f>20-22</f>
        <v>-2</v>
      </c>
      <c r="EF79" s="8">
        <v>58.13328212022277</v>
      </c>
      <c r="EG79" s="23">
        <f>19-1</f>
        <v>18</v>
      </c>
      <c r="EH79" s="8">
        <v>80.19332949235005</v>
      </c>
      <c r="EI79" s="23">
        <f>19-17</f>
        <v>2</v>
      </c>
      <c r="EJ79" s="8">
        <v>64.18923244350555</v>
      </c>
      <c r="EK79" s="8">
        <v>42.30843095832533</v>
      </c>
      <c r="EL79" s="8">
        <v>48.55002880737469</v>
      </c>
      <c r="EM79" s="8">
        <v>8.021253440880866</v>
      </c>
      <c r="EN79" s="23">
        <f t="shared" si="129"/>
        <v>34.28717751744446</v>
      </c>
      <c r="EO79" s="8">
        <v>1.1202867934191154</v>
      </c>
      <c r="EP79" s="23">
        <f>35-30</f>
        <v>5</v>
      </c>
      <c r="EQ79" s="8">
        <v>34.85647763179777</v>
      </c>
      <c r="ER79" s="23">
        <f>32-36</f>
        <v>-4</v>
      </c>
      <c r="ES79" s="8">
        <v>31.87892898719441</v>
      </c>
      <c r="ET79" s="20">
        <v>-0.644</v>
      </c>
      <c r="EU79" s="23">
        <f>32-25</f>
        <v>7</v>
      </c>
      <c r="EV79" s="8">
        <v>43.294861134209214</v>
      </c>
      <c r="EW79" s="23">
        <f>14-3</f>
        <v>11</v>
      </c>
      <c r="EX79" s="8">
        <v>83.26426076833528</v>
      </c>
      <c r="EY79" s="23">
        <f>22-24</f>
        <v>-2</v>
      </c>
      <c r="EZ79" s="8">
        <v>53.91318809246633</v>
      </c>
      <c r="FA79" s="8">
        <v>48.46632296690504</v>
      </c>
      <c r="FB79" s="8">
        <v>42.215200399135206</v>
      </c>
      <c r="FC79" s="8">
        <v>6.641609845335108</v>
      </c>
      <c r="FD79" s="23">
        <f t="shared" si="130"/>
        <v>41.82471312156993</v>
      </c>
      <c r="FE79" s="8">
        <v>2.6768667886246464</v>
      </c>
      <c r="FF79" s="125" t="s">
        <v>193</v>
      </c>
      <c r="FG79" s="125" t="s">
        <v>193</v>
      </c>
      <c r="FH79" s="125" t="s">
        <v>193</v>
      </c>
      <c r="FI79" s="125" t="s">
        <v>193</v>
      </c>
      <c r="FJ79" s="125" t="s">
        <v>193</v>
      </c>
      <c r="FK79" s="125" t="s">
        <v>193</v>
      </c>
      <c r="FL79" s="125" t="s">
        <v>193</v>
      </c>
      <c r="FM79" s="125" t="s">
        <v>193</v>
      </c>
      <c r="FN79" s="125" t="s">
        <v>193</v>
      </c>
      <c r="FO79" s="125" t="s">
        <v>193</v>
      </c>
      <c r="FP79" s="125" t="s">
        <v>193</v>
      </c>
      <c r="FQ79" s="125" t="s">
        <v>193</v>
      </c>
      <c r="FR79" s="125" t="s">
        <v>193</v>
      </c>
      <c r="FS79" s="125" t="s">
        <v>193</v>
      </c>
      <c r="FT79" s="125" t="s">
        <v>193</v>
      </c>
      <c r="FU79" s="125" t="s">
        <v>193</v>
      </c>
    </row>
    <row r="80" spans="1:177" ht="12">
      <c r="A80" s="1" t="s">
        <v>32</v>
      </c>
      <c r="B80" s="23">
        <f>36-32</f>
        <v>4</v>
      </c>
      <c r="C80" s="8">
        <v>32.00690084280785</v>
      </c>
      <c r="D80" s="23">
        <f>39-28</f>
        <v>11</v>
      </c>
      <c r="E80" s="8">
        <v>33.155155834606035</v>
      </c>
      <c r="F80" s="20">
        <v>-0.538</v>
      </c>
      <c r="G80" s="23">
        <f>47-14</f>
        <v>33</v>
      </c>
      <c r="H80" s="8">
        <v>38.180892584422196</v>
      </c>
      <c r="I80" s="23">
        <f>12-3</f>
        <v>9</v>
      </c>
      <c r="J80" s="8">
        <v>84.66259403812433</v>
      </c>
      <c r="K80" s="23">
        <f>33-13</f>
        <v>20</v>
      </c>
      <c r="L80" s="8">
        <v>53.388200690084275</v>
      </c>
      <c r="M80" s="8">
        <v>55.24350924826065</v>
      </c>
      <c r="N80" s="8">
        <v>37.32111544770632</v>
      </c>
      <c r="O80" s="8">
        <v>5.995814242887041</v>
      </c>
      <c r="P80" s="23">
        <f t="shared" si="153"/>
        <v>49.24769500537361</v>
      </c>
      <c r="Q80" s="8">
        <v>1.4395610611459924</v>
      </c>
      <c r="R80" s="23">
        <f>36-35</f>
        <v>1</v>
      </c>
      <c r="S80" s="8">
        <v>28.747899159663863</v>
      </c>
      <c r="T80" s="23">
        <f>40-27</f>
        <v>13</v>
      </c>
      <c r="U80" s="8">
        <v>32.621848739495796</v>
      </c>
      <c r="V80" s="20">
        <v>0.368</v>
      </c>
      <c r="W80" s="23">
        <f>44-19</f>
        <v>25</v>
      </c>
      <c r="X80" s="8">
        <v>36.57983193277311</v>
      </c>
      <c r="Y80" s="23">
        <f>11-1</f>
        <v>10</v>
      </c>
      <c r="Z80" s="8">
        <v>88</v>
      </c>
      <c r="AA80" s="23">
        <f>35-26</f>
        <v>9</v>
      </c>
      <c r="AB80" s="8">
        <v>38.991596638655466</v>
      </c>
      <c r="AC80" s="8">
        <v>46.89915966386555</v>
      </c>
      <c r="AD80" s="8">
        <v>44.73109243697479</v>
      </c>
      <c r="AE80" s="8">
        <v>5.571428571428571</v>
      </c>
      <c r="AF80" s="23">
        <f t="shared" si="122"/>
        <v>41.32773109243698</v>
      </c>
      <c r="AG80" s="8">
        <v>2.7983193277310923</v>
      </c>
      <c r="AH80" s="23">
        <f>30-28</f>
        <v>2</v>
      </c>
      <c r="AI80" s="8">
        <v>42.33409610983982</v>
      </c>
      <c r="AJ80" s="23">
        <f>39-29</f>
        <v>10</v>
      </c>
      <c r="AK80" s="8">
        <v>32.007086439802166</v>
      </c>
      <c r="AL80" s="20">
        <v>0</v>
      </c>
      <c r="AM80" s="23">
        <f>43-14</f>
        <v>29</v>
      </c>
      <c r="AN80" s="8">
        <v>43.60374990772865</v>
      </c>
      <c r="AO80" s="23">
        <f>10-3</f>
        <v>7</v>
      </c>
      <c r="AP80" s="8">
        <v>86.77197903594892</v>
      </c>
      <c r="AQ80" s="23">
        <f>25-12</f>
        <v>13</v>
      </c>
      <c r="AR80" s="8">
        <v>62.86262641175168</v>
      </c>
      <c r="AS80" s="8">
        <v>45.13914519819887</v>
      </c>
      <c r="AT80" s="8">
        <v>47.07315272754115</v>
      </c>
      <c r="AU80" s="8">
        <v>6.503284860116631</v>
      </c>
      <c r="AV80" s="23">
        <f t="shared" si="123"/>
        <v>38.63586033808224</v>
      </c>
      <c r="AW80" s="8">
        <v>1.2844172141433527</v>
      </c>
      <c r="AX80" s="23">
        <f>29-35</f>
        <v>-6</v>
      </c>
      <c r="AY80" s="8">
        <v>35.976952264955266</v>
      </c>
      <c r="AZ80" s="23">
        <f>29-43</f>
        <v>-14</v>
      </c>
      <c r="BA80" s="8">
        <v>27.20757015037242</v>
      </c>
      <c r="BB80" s="20">
        <v>-1.102</v>
      </c>
      <c r="BC80" s="23">
        <f>41-23</f>
        <v>18</v>
      </c>
      <c r="BD80" s="8">
        <v>35.26022391905186</v>
      </c>
      <c r="BE80" s="23">
        <f>15-5</f>
        <v>10</v>
      </c>
      <c r="BF80" s="8">
        <v>80.67644165456504</v>
      </c>
      <c r="BG80" s="23">
        <f>23-17</f>
        <v>6</v>
      </c>
      <c r="BH80" s="8">
        <v>59.46034571602568</v>
      </c>
      <c r="BI80" s="8">
        <v>44.001499039677704</v>
      </c>
      <c r="BJ80" s="8">
        <v>47.1073218719258</v>
      </c>
      <c r="BK80" s="8">
        <v>8.891179088396497</v>
      </c>
      <c r="BL80" s="23">
        <f t="shared" si="124"/>
        <v>35.110319951281205</v>
      </c>
      <c r="BM80" s="8">
        <v>0</v>
      </c>
      <c r="BN80" s="23">
        <f>25-37</f>
        <v>-12</v>
      </c>
      <c r="BO80" s="8">
        <v>37.68827097389764</v>
      </c>
      <c r="BP80" s="23">
        <f>31-32</f>
        <v>-1</v>
      </c>
      <c r="BQ80" s="8">
        <v>36.68643085940162</v>
      </c>
      <c r="BR80" s="20">
        <v>-0.878</v>
      </c>
      <c r="BS80" s="23">
        <f>41-16</f>
        <v>25</v>
      </c>
      <c r="BT80" s="8">
        <v>43.20861446193689</v>
      </c>
      <c r="BU80" s="23">
        <f>8-7</f>
        <v>1</v>
      </c>
      <c r="BV80" s="8">
        <v>85.02010495467867</v>
      </c>
      <c r="BW80" s="23">
        <f>26-25</f>
        <v>1</v>
      </c>
      <c r="BX80" s="8">
        <v>49.26736182103183</v>
      </c>
      <c r="BY80" s="8">
        <v>38.49928439991822</v>
      </c>
      <c r="BZ80" s="8">
        <v>54.86267293668643</v>
      </c>
      <c r="CA80" s="8">
        <v>4.811558645130512</v>
      </c>
      <c r="CB80" s="23">
        <f t="shared" si="125"/>
        <v>33.68772575478771</v>
      </c>
      <c r="CC80" s="8">
        <v>1.82648401826484</v>
      </c>
      <c r="CD80" s="23">
        <f>16-39</f>
        <v>-23</v>
      </c>
      <c r="CE80" s="8">
        <v>44.94864808216307</v>
      </c>
      <c r="CF80" s="23">
        <f>35-28</f>
        <v>7</v>
      </c>
      <c r="CG80" s="8">
        <v>37.790819534688744</v>
      </c>
      <c r="CH80" s="20">
        <v>0.695</v>
      </c>
      <c r="CI80" s="23">
        <f>33-18</f>
        <v>15</v>
      </c>
      <c r="CJ80" s="8">
        <v>48.2812827499476</v>
      </c>
      <c r="CK80" s="23">
        <f>12-2</f>
        <v>10</v>
      </c>
      <c r="CL80" s="8">
        <v>86.20834206665269</v>
      </c>
      <c r="CM80" s="23">
        <f>28-13</f>
        <v>15</v>
      </c>
      <c r="CN80" s="8">
        <v>58.383986585621464</v>
      </c>
      <c r="CO80" s="8">
        <v>59.19094529448753</v>
      </c>
      <c r="CP80" s="8">
        <v>33.252986795221126</v>
      </c>
      <c r="CQ80" s="8">
        <v>7.157828547474324</v>
      </c>
      <c r="CR80" s="23">
        <f t="shared" si="126"/>
        <v>52.0331167470132</v>
      </c>
      <c r="CS80" s="8">
        <v>0.39823936281701944</v>
      </c>
      <c r="CT80" s="23">
        <f>41-29</f>
        <v>12</v>
      </c>
      <c r="CU80" s="8">
        <v>30.13718946978124</v>
      </c>
      <c r="CV80" s="23">
        <f>35-34</f>
        <v>1</v>
      </c>
      <c r="CW80" s="8">
        <v>31.70930663700408</v>
      </c>
      <c r="CX80" s="20">
        <v>-2.305</v>
      </c>
      <c r="CY80" s="23">
        <f>31-29</f>
        <v>2</v>
      </c>
      <c r="CZ80" s="8">
        <v>40.02966258806081</v>
      </c>
      <c r="DA80" s="23">
        <f>11-0</f>
        <v>11</v>
      </c>
      <c r="DB80" s="8">
        <v>88.67630700778642</v>
      </c>
      <c r="DC80" s="23">
        <f>20-28</f>
        <v>-8</v>
      </c>
      <c r="DD80" s="8">
        <v>51.91694475342974</v>
      </c>
      <c r="DE80" s="8">
        <v>47.73451983685577</v>
      </c>
      <c r="DF80" s="8">
        <v>41.446051167964406</v>
      </c>
      <c r="DG80" s="8">
        <v>10.61179087875417</v>
      </c>
      <c r="DH80" s="23">
        <f t="shared" si="127"/>
        <v>37.1227289581016</v>
      </c>
      <c r="DI80" s="8">
        <v>0.20763811642565813</v>
      </c>
      <c r="DJ80" s="23">
        <f>25-34</f>
        <v>-9</v>
      </c>
      <c r="DK80" s="8">
        <v>41.48262860220846</v>
      </c>
      <c r="DL80" s="23">
        <f>34-29</f>
        <v>5</v>
      </c>
      <c r="DM80" s="8">
        <v>36.60113116078642</v>
      </c>
      <c r="DN80" s="20">
        <v>0.073</v>
      </c>
      <c r="DO80" s="23">
        <f>36-18</f>
        <v>18</v>
      </c>
      <c r="DP80" s="8">
        <v>45.48208995421492</v>
      </c>
      <c r="DQ80" s="23">
        <f>19-2</f>
        <v>17</v>
      </c>
      <c r="DR80" s="8">
        <v>79.04659305144088</v>
      </c>
      <c r="DS80" s="23">
        <f>32-25</f>
        <v>7</v>
      </c>
      <c r="DT80" s="8">
        <v>43.20630218152438</v>
      </c>
      <c r="DU80" s="8">
        <v>40.50632911392405</v>
      </c>
      <c r="DV80" s="8">
        <v>54.98922704012927</v>
      </c>
      <c r="DW80" s="8">
        <v>4.504443845946674</v>
      </c>
      <c r="DX80" s="23">
        <f t="shared" si="128"/>
        <v>36.00188526797738</v>
      </c>
      <c r="DY80" s="8">
        <v>0</v>
      </c>
      <c r="DZ80" s="23">
        <f>22-36</f>
        <v>-14</v>
      </c>
      <c r="EA80" s="8">
        <v>42.135586710197806</v>
      </c>
      <c r="EB80" s="23">
        <f>26-34</f>
        <v>-8</v>
      </c>
      <c r="EC80" s="8">
        <v>40.1702835925997</v>
      </c>
      <c r="ED80" s="20">
        <v>-2.358</v>
      </c>
      <c r="EE80" s="23">
        <f>21-32</f>
        <v>-11</v>
      </c>
      <c r="EF80" s="8">
        <v>47.20568465527175</v>
      </c>
      <c r="EG80" s="23">
        <f>22-0</f>
        <v>22</v>
      </c>
      <c r="EH80" s="8">
        <v>78.1384034312784</v>
      </c>
      <c r="EI80" s="23">
        <f>20-25</f>
        <v>-5</v>
      </c>
      <c r="EJ80" s="8">
        <v>54.65079060239422</v>
      </c>
      <c r="EK80" s="8">
        <v>41.27776710837974</v>
      </c>
      <c r="EL80" s="8">
        <v>46.981627296587924</v>
      </c>
      <c r="EM80" s="8">
        <v>11.74060559503233</v>
      </c>
      <c r="EN80" s="23">
        <f t="shared" si="129"/>
        <v>29.537161513347414</v>
      </c>
      <c r="EO80" s="8">
        <v>0</v>
      </c>
      <c r="EP80" s="23">
        <f>30-33</f>
        <v>-3</v>
      </c>
      <c r="EQ80" s="8">
        <v>36.4403791784467</v>
      </c>
      <c r="ER80" s="23">
        <f>34-32</f>
        <v>2</v>
      </c>
      <c r="ES80" s="8">
        <v>33.74355562946948</v>
      </c>
      <c r="ET80" s="20">
        <v>-0.74</v>
      </c>
      <c r="EU80" s="23">
        <f>39-20</f>
        <v>19</v>
      </c>
      <c r="EV80" s="8">
        <v>41.08498253783469</v>
      </c>
      <c r="EW80" s="23">
        <f>13-3</f>
        <v>10</v>
      </c>
      <c r="EX80" s="8">
        <v>83.81107600199567</v>
      </c>
      <c r="EY80" s="23">
        <f>28-20</f>
        <v>8</v>
      </c>
      <c r="EZ80" s="8">
        <v>52.87277565275237</v>
      </c>
      <c r="FA80" s="8">
        <v>47.11125893896557</v>
      </c>
      <c r="FB80" s="8">
        <v>44.74970896391153</v>
      </c>
      <c r="FC80" s="8">
        <v>7.240977881257275</v>
      </c>
      <c r="FD80" s="23">
        <f t="shared" si="130"/>
        <v>39.8702810577083</v>
      </c>
      <c r="FE80" s="8">
        <v>0.8980542158656245</v>
      </c>
      <c r="FF80" s="125" t="s">
        <v>193</v>
      </c>
      <c r="FG80" s="125" t="s">
        <v>193</v>
      </c>
      <c r="FH80" s="125" t="s">
        <v>193</v>
      </c>
      <c r="FI80" s="125" t="s">
        <v>193</v>
      </c>
      <c r="FJ80" s="125" t="s">
        <v>193</v>
      </c>
      <c r="FK80" s="125" t="s">
        <v>193</v>
      </c>
      <c r="FL80" s="125" t="s">
        <v>193</v>
      </c>
      <c r="FM80" s="125" t="s">
        <v>193</v>
      </c>
      <c r="FN80" s="125" t="s">
        <v>193</v>
      </c>
      <c r="FO80" s="125" t="s">
        <v>193</v>
      </c>
      <c r="FP80" s="125" t="s">
        <v>193</v>
      </c>
      <c r="FQ80" s="125" t="s">
        <v>193</v>
      </c>
      <c r="FR80" s="125" t="s">
        <v>193</v>
      </c>
      <c r="FS80" s="125" t="s">
        <v>193</v>
      </c>
      <c r="FT80" s="125" t="s">
        <v>193</v>
      </c>
      <c r="FU80" s="125" t="s">
        <v>193</v>
      </c>
    </row>
    <row r="81" spans="1:177" ht="12">
      <c r="A81" s="1" t="s">
        <v>33</v>
      </c>
      <c r="B81" s="23">
        <f>55-19</f>
        <v>36</v>
      </c>
      <c r="C81" s="8">
        <v>26.522993381978623</v>
      </c>
      <c r="D81" s="23">
        <f>52-21</f>
        <v>31</v>
      </c>
      <c r="E81" s="8">
        <v>27.422365518411674</v>
      </c>
      <c r="F81" s="20">
        <v>2.521</v>
      </c>
      <c r="G81" s="23">
        <f>15-39</f>
        <v>-24</v>
      </c>
      <c r="H81" s="8">
        <v>46.603314667119186</v>
      </c>
      <c r="I81" s="23">
        <f>12-0</f>
        <v>12</v>
      </c>
      <c r="J81" s="8">
        <v>87.81322472990554</v>
      </c>
      <c r="K81" s="23">
        <f>12-30</f>
        <v>-18</v>
      </c>
      <c r="L81" s="8">
        <v>57.984048871542505</v>
      </c>
      <c r="M81" s="8">
        <v>55.36512246167769</v>
      </c>
      <c r="N81" s="8">
        <v>37.07506080660671</v>
      </c>
      <c r="O81" s="8">
        <v>5.5178460320153855</v>
      </c>
      <c r="P81" s="23">
        <f t="shared" si="153"/>
        <v>49.84727642966231</v>
      </c>
      <c r="Q81" s="8">
        <v>2.041970699700209</v>
      </c>
      <c r="R81" s="23">
        <f>38-33</f>
        <v>5</v>
      </c>
      <c r="S81" s="8">
        <v>28.84873949579832</v>
      </c>
      <c r="T81" s="23">
        <f>40-31</f>
        <v>9</v>
      </c>
      <c r="U81" s="8">
        <v>28.974789915966387</v>
      </c>
      <c r="V81" s="20">
        <v>-0.601</v>
      </c>
      <c r="W81" s="23">
        <f>10-33</f>
        <v>-23</v>
      </c>
      <c r="X81" s="8">
        <v>57.11764705882353</v>
      </c>
      <c r="Y81" s="23">
        <f>15-5</f>
        <v>10</v>
      </c>
      <c r="Z81" s="8">
        <v>79.64705882352942</v>
      </c>
      <c r="AA81" s="23">
        <f>12-28</f>
        <v>-16</v>
      </c>
      <c r="AB81" s="8">
        <v>59.596638655462186</v>
      </c>
      <c r="AC81" s="8">
        <v>44.134453781512605</v>
      </c>
      <c r="AD81" s="8">
        <v>48.63865546218488</v>
      </c>
      <c r="AE81" s="8">
        <v>5.260504201680672</v>
      </c>
      <c r="AF81" s="23">
        <f t="shared" si="122"/>
        <v>38.87394957983193</v>
      </c>
      <c r="AG81" s="8">
        <v>1.9663865546218486</v>
      </c>
      <c r="AH81" s="23">
        <f>51-13</f>
        <v>38</v>
      </c>
      <c r="AI81" s="8">
        <v>35.07049531261534</v>
      </c>
      <c r="AJ81" s="23">
        <f>46-23</f>
        <v>23</v>
      </c>
      <c r="AK81" s="8">
        <v>31.527275411530226</v>
      </c>
      <c r="AL81" s="20">
        <v>1.94</v>
      </c>
      <c r="AM81" s="23">
        <f>12-31</f>
        <v>-19</v>
      </c>
      <c r="AN81" s="8">
        <v>57.48874289510593</v>
      </c>
      <c r="AO81" s="23">
        <f>8-1</f>
        <v>7</v>
      </c>
      <c r="AP81" s="8">
        <v>90.3963977264339</v>
      </c>
      <c r="AQ81" s="23">
        <f>10-28</f>
        <v>-18</v>
      </c>
      <c r="AR81" s="8">
        <v>62.043256809625746</v>
      </c>
      <c r="AS81" s="8">
        <v>54.10053886469329</v>
      </c>
      <c r="AT81" s="8">
        <v>43.66280357274673</v>
      </c>
      <c r="AU81" s="8">
        <v>2.236657562559976</v>
      </c>
      <c r="AV81" s="23">
        <f t="shared" si="123"/>
        <v>51.863881302133315</v>
      </c>
      <c r="AW81" s="8">
        <v>0</v>
      </c>
      <c r="AX81" s="23">
        <f>41-25</f>
        <v>16</v>
      </c>
      <c r="AY81" s="8">
        <v>34.79645851876142</v>
      </c>
      <c r="AZ81" s="23">
        <f>30-39</f>
        <v>-9</v>
      </c>
      <c r="BA81" s="8">
        <v>31.582892209678175</v>
      </c>
      <c r="BB81" s="20">
        <v>-1.518</v>
      </c>
      <c r="BC81" s="23">
        <f>15-31</f>
        <v>-16</v>
      </c>
      <c r="BD81" s="8">
        <v>53.49229399915679</v>
      </c>
      <c r="BE81" s="23">
        <f>9-4</f>
        <v>5</v>
      </c>
      <c r="BF81" s="8">
        <v>86.9864617979107</v>
      </c>
      <c r="BG81" s="23">
        <f>5-31</f>
        <v>-26</v>
      </c>
      <c r="BH81" s="8">
        <v>64.25727268468637</v>
      </c>
      <c r="BI81" s="8">
        <v>46.985524898112146</v>
      </c>
      <c r="BJ81" s="8">
        <v>43.88438656485689</v>
      </c>
      <c r="BK81" s="8">
        <v>9.130088537030964</v>
      </c>
      <c r="BL81" s="23">
        <f t="shared" si="124"/>
        <v>37.85543636108118</v>
      </c>
      <c r="BM81" s="8">
        <v>0</v>
      </c>
      <c r="BN81" s="23">
        <f>44-18</f>
        <v>26</v>
      </c>
      <c r="BO81" s="8">
        <v>38.090370067470865</v>
      </c>
      <c r="BP81" s="23">
        <f>41-24</f>
        <v>17</v>
      </c>
      <c r="BQ81" s="8">
        <v>35.1052954406052</v>
      </c>
      <c r="BR81" s="20">
        <v>1.392</v>
      </c>
      <c r="BS81" s="23">
        <f>12-34</f>
        <v>-22</v>
      </c>
      <c r="BT81" s="8">
        <v>53.656375655966734</v>
      </c>
      <c r="BU81" s="23">
        <f>11-5</f>
        <v>6</v>
      </c>
      <c r="BV81" s="8">
        <v>84.8224630273291</v>
      </c>
      <c r="BW81" s="23">
        <f>13-33</f>
        <v>-20</v>
      </c>
      <c r="BX81" s="8">
        <v>54.5491719484768</v>
      </c>
      <c r="BY81" s="8">
        <v>38.64921965514891</v>
      </c>
      <c r="BZ81" s="8">
        <v>57.14577795951749</v>
      </c>
      <c r="CA81" s="8">
        <v>4.10958904109589</v>
      </c>
      <c r="CB81" s="23">
        <f t="shared" si="125"/>
        <v>34.539630614053024</v>
      </c>
      <c r="CC81" s="8">
        <v>0.09541334423771554</v>
      </c>
      <c r="CD81" s="23">
        <f>40-22</f>
        <v>18</v>
      </c>
      <c r="CE81" s="8">
        <v>38.24145881366589</v>
      </c>
      <c r="CF81" s="23">
        <f>44-23</f>
        <v>21</v>
      </c>
      <c r="CG81" s="8">
        <v>33.16914692936491</v>
      </c>
      <c r="CH81" s="20">
        <v>0.525</v>
      </c>
      <c r="CI81" s="23">
        <f>16-25</f>
        <v>-9</v>
      </c>
      <c r="CJ81" s="8">
        <v>59.16998532802348</v>
      </c>
      <c r="CK81" s="23">
        <f>14-4</f>
        <v>10</v>
      </c>
      <c r="CL81" s="8">
        <v>82.12114860616224</v>
      </c>
      <c r="CM81" s="23">
        <f>21-23</f>
        <v>-2</v>
      </c>
      <c r="CN81" s="8">
        <v>55.65919094529449</v>
      </c>
      <c r="CO81" s="8">
        <v>50.49255921190527</v>
      </c>
      <c r="CP81" s="8">
        <v>40.25361559421505</v>
      </c>
      <c r="CQ81" s="8">
        <v>9.0232655627751</v>
      </c>
      <c r="CR81" s="23">
        <f t="shared" si="126"/>
        <v>41.469293649130165</v>
      </c>
      <c r="CS81" s="8">
        <v>0.2305596311045902</v>
      </c>
      <c r="CT81" s="23">
        <f>45-21</f>
        <v>24</v>
      </c>
      <c r="CU81" s="8">
        <v>34.43826473859845</v>
      </c>
      <c r="CV81" s="23">
        <f>40-25</f>
        <v>15</v>
      </c>
      <c r="CW81" s="8">
        <v>35.41713014460512</v>
      </c>
      <c r="CX81" s="20">
        <v>-0.181</v>
      </c>
      <c r="CY81" s="23">
        <f>14-32</f>
        <v>-18</v>
      </c>
      <c r="CZ81" s="8">
        <v>54.03781979977753</v>
      </c>
      <c r="DA81" s="23">
        <f>7-2</f>
        <v>5</v>
      </c>
      <c r="DB81" s="8">
        <v>90.95291064145347</v>
      </c>
      <c r="DC81" s="23">
        <f>11-39</f>
        <v>-28</v>
      </c>
      <c r="DD81" s="8">
        <v>50.15202076381164</v>
      </c>
      <c r="DE81" s="8">
        <v>53.526140155728584</v>
      </c>
      <c r="DF81" s="8">
        <v>42.02447163515017</v>
      </c>
      <c r="DG81" s="8">
        <v>4.4493882091212456</v>
      </c>
      <c r="DH81" s="23">
        <f t="shared" si="127"/>
        <v>49.07675194660734</v>
      </c>
      <c r="DI81" s="8">
        <v>0</v>
      </c>
      <c r="DJ81" s="23">
        <f>40-23</f>
        <v>17</v>
      </c>
      <c r="DK81" s="8">
        <v>36.93105305682736</v>
      </c>
      <c r="DL81" s="23">
        <f>28-42</f>
        <v>-14</v>
      </c>
      <c r="DM81" s="8">
        <v>30.029625639644493</v>
      </c>
      <c r="DN81" s="20">
        <v>-1.242</v>
      </c>
      <c r="DO81" s="23">
        <f>11-42</f>
        <v>-31</v>
      </c>
      <c r="DP81" s="8">
        <v>46.8893078373283</v>
      </c>
      <c r="DQ81" s="23">
        <f>24-2</f>
        <v>22</v>
      </c>
      <c r="DR81" s="8">
        <v>74.24589280904928</v>
      </c>
      <c r="DS81" s="23">
        <f>2-43</f>
        <v>-41</v>
      </c>
      <c r="DT81" s="8">
        <v>54.22838674925936</v>
      </c>
      <c r="DU81" s="8">
        <v>31.275249124697012</v>
      </c>
      <c r="DV81" s="8">
        <v>64.20684082951792</v>
      </c>
      <c r="DW81" s="8">
        <v>4.201454349582548</v>
      </c>
      <c r="DX81" s="23">
        <f t="shared" si="128"/>
        <v>27.073794775114465</v>
      </c>
      <c r="DY81" s="8">
        <v>0.31645569620253167</v>
      </c>
      <c r="DZ81" s="23">
        <f>30-37</f>
        <v>-7</v>
      </c>
      <c r="EA81" s="8">
        <v>33.76224313424237</v>
      </c>
      <c r="EB81" s="23">
        <f>27-38</f>
        <v>-11</v>
      </c>
      <c r="EC81" s="8">
        <v>35.79796427885539</v>
      </c>
      <c r="ED81" s="20">
        <v>-1.42</v>
      </c>
      <c r="EE81" s="23">
        <f>16-44</f>
        <v>-28</v>
      </c>
      <c r="EF81" s="8">
        <v>40.04225081620895</v>
      </c>
      <c r="EG81" s="23">
        <f>20-7</f>
        <v>13</v>
      </c>
      <c r="EH81" s="8">
        <v>72.97868254273095</v>
      </c>
      <c r="EI81" s="23">
        <f>14-29</f>
        <v>-15</v>
      </c>
      <c r="EJ81" s="8">
        <v>57.352282184239165</v>
      </c>
      <c r="EK81" s="8">
        <v>39.184431214390884</v>
      </c>
      <c r="EL81" s="8">
        <v>54.93886434927341</v>
      </c>
      <c r="EM81" s="8">
        <v>5.876704436335702</v>
      </c>
      <c r="EN81" s="23">
        <f t="shared" si="129"/>
        <v>33.307726778055184</v>
      </c>
      <c r="EO81" s="8">
        <v>0</v>
      </c>
      <c r="EP81" s="23">
        <f>44-23</f>
        <v>21</v>
      </c>
      <c r="EQ81" s="8">
        <v>33.01579910194579</v>
      </c>
      <c r="ER81" s="23">
        <f>40-29</f>
        <v>11</v>
      </c>
      <c r="ES81" s="8">
        <v>31.465824047896223</v>
      </c>
      <c r="ET81" s="20">
        <v>0.387</v>
      </c>
      <c r="EU81" s="23">
        <f>14-35</f>
        <v>-21</v>
      </c>
      <c r="EV81" s="8">
        <v>50.89439547646766</v>
      </c>
      <c r="EW81" s="23">
        <f>13-3</f>
        <v>10</v>
      </c>
      <c r="EX81" s="8">
        <v>84.02860468983869</v>
      </c>
      <c r="EY81" s="23">
        <f>11-32</f>
        <v>-21</v>
      </c>
      <c r="EZ81" s="8">
        <v>57.74621653084983</v>
      </c>
      <c r="FA81" s="8">
        <v>47.00482288375187</v>
      </c>
      <c r="FB81" s="8">
        <v>46.6928321969067</v>
      </c>
      <c r="FC81" s="8">
        <v>5.611175785797439</v>
      </c>
      <c r="FD81" s="23">
        <f t="shared" si="130"/>
        <v>41.39364709795443</v>
      </c>
      <c r="FE81" s="8">
        <v>0.691169133543988</v>
      </c>
      <c r="FF81" s="125" t="s">
        <v>193</v>
      </c>
      <c r="FG81" s="125" t="s">
        <v>193</v>
      </c>
      <c r="FH81" s="125" t="s">
        <v>193</v>
      </c>
      <c r="FI81" s="125" t="s">
        <v>193</v>
      </c>
      <c r="FJ81" s="125" t="s">
        <v>193</v>
      </c>
      <c r="FK81" s="125" t="s">
        <v>193</v>
      </c>
      <c r="FL81" s="125" t="s">
        <v>193</v>
      </c>
      <c r="FM81" s="125" t="s">
        <v>193</v>
      </c>
      <c r="FN81" s="125" t="s">
        <v>193</v>
      </c>
      <c r="FO81" s="125" t="s">
        <v>193</v>
      </c>
      <c r="FP81" s="125" t="s">
        <v>193</v>
      </c>
      <c r="FQ81" s="125" t="s">
        <v>193</v>
      </c>
      <c r="FR81" s="125" t="s">
        <v>193</v>
      </c>
      <c r="FS81" s="125" t="s">
        <v>193</v>
      </c>
      <c r="FT81" s="125" t="s">
        <v>193</v>
      </c>
      <c r="FU81" s="125" t="s">
        <v>193</v>
      </c>
    </row>
    <row r="82" spans="1:177" ht="12">
      <c r="A82" s="122" t="s">
        <v>9</v>
      </c>
      <c r="B82" s="24">
        <f aca="true" t="shared" si="154" ref="B82:O82">AVERAGE(B78:B81)</f>
        <v>5.25</v>
      </c>
      <c r="C82" s="13">
        <f t="shared" si="154"/>
        <v>26.817127665591947</v>
      </c>
      <c r="D82" s="24">
        <f t="shared" si="154"/>
        <v>18</v>
      </c>
      <c r="E82" s="13">
        <f t="shared" si="154"/>
        <v>27.444284178969397</v>
      </c>
      <c r="F82" s="21">
        <f t="shared" si="154"/>
        <v>1.11125</v>
      </c>
      <c r="G82" s="24">
        <f t="shared" si="154"/>
        <v>6</v>
      </c>
      <c r="H82" s="13">
        <f t="shared" si="154"/>
        <v>42.88138469370439</v>
      </c>
      <c r="I82" s="24">
        <f t="shared" si="154"/>
        <v>9.25</v>
      </c>
      <c r="J82" s="13">
        <f t="shared" si="154"/>
        <v>87.66686464166526</v>
      </c>
      <c r="K82" s="24">
        <f t="shared" si="154"/>
        <v>-1</v>
      </c>
      <c r="L82" s="13">
        <f t="shared" si="154"/>
        <v>57.318004412014254</v>
      </c>
      <c r="M82" s="13">
        <f t="shared" si="154"/>
        <v>56.726200576955705</v>
      </c>
      <c r="N82" s="13">
        <f t="shared" si="154"/>
        <v>36.876378754454436</v>
      </c>
      <c r="O82" s="13">
        <f t="shared" si="154"/>
        <v>4.002630239266927</v>
      </c>
      <c r="P82" s="24">
        <f t="shared" si="153"/>
        <v>52.72357033768878</v>
      </c>
      <c r="Q82" s="13">
        <f aca="true" t="shared" si="155" ref="Q82:AE82">AVERAGE(Q78:Q81)</f>
        <v>2.394790429322925</v>
      </c>
      <c r="R82" s="24">
        <f t="shared" si="155"/>
        <v>-3.75</v>
      </c>
      <c r="S82" s="13">
        <f t="shared" si="155"/>
        <v>30.193277310924366</v>
      </c>
      <c r="T82" s="24">
        <f t="shared" si="155"/>
        <v>17</v>
      </c>
      <c r="U82" s="13">
        <f t="shared" si="155"/>
        <v>32.51470588235294</v>
      </c>
      <c r="V82" s="21">
        <f t="shared" si="155"/>
        <v>0.577</v>
      </c>
      <c r="W82" s="24">
        <f t="shared" si="155"/>
        <v>9.5</v>
      </c>
      <c r="X82" s="13">
        <f t="shared" si="155"/>
        <v>45.9936974789916</v>
      </c>
      <c r="Y82" s="24">
        <f t="shared" si="155"/>
        <v>11.25</v>
      </c>
      <c r="Z82" s="13">
        <f t="shared" si="155"/>
        <v>85.27310924369749</v>
      </c>
      <c r="AA82" s="24">
        <f t="shared" si="155"/>
        <v>4.25</v>
      </c>
      <c r="AB82" s="13">
        <f t="shared" si="155"/>
        <v>51.96638655462185</v>
      </c>
      <c r="AC82" s="13">
        <f t="shared" si="155"/>
        <v>42.64915966386555</v>
      </c>
      <c r="AD82" s="13">
        <f t="shared" si="155"/>
        <v>47.090336134453786</v>
      </c>
      <c r="AE82" s="13">
        <f t="shared" si="155"/>
        <v>8.19747899159664</v>
      </c>
      <c r="AF82" s="24">
        <f t="shared" si="122"/>
        <v>34.45168067226891</v>
      </c>
      <c r="AG82" s="13">
        <f aca="true" t="shared" si="156" ref="AG82:AU82">AVERAGE(AG78:AG81)</f>
        <v>2.0630252100840334</v>
      </c>
      <c r="AH82" s="24">
        <f t="shared" si="156"/>
        <v>8.5</v>
      </c>
      <c r="AI82" s="13">
        <f t="shared" si="156"/>
        <v>37.21303609655274</v>
      </c>
      <c r="AJ82" s="24">
        <f t="shared" si="156"/>
        <v>19.75</v>
      </c>
      <c r="AK82" s="13">
        <f t="shared" si="156"/>
        <v>31.196943972835314</v>
      </c>
      <c r="AL82" s="21">
        <f t="shared" si="156"/>
        <v>1.6395</v>
      </c>
      <c r="AM82" s="24">
        <f t="shared" si="156"/>
        <v>8.25</v>
      </c>
      <c r="AN82" s="13">
        <f t="shared" si="156"/>
        <v>48.270834871189194</v>
      </c>
      <c r="AO82" s="24">
        <f t="shared" si="156"/>
        <v>9</v>
      </c>
      <c r="AP82" s="13">
        <f t="shared" si="156"/>
        <v>85.43773529194657</v>
      </c>
      <c r="AQ82" s="24">
        <f t="shared" si="156"/>
        <v>0.5</v>
      </c>
      <c r="AR82" s="13">
        <f t="shared" si="156"/>
        <v>58.389311286631724</v>
      </c>
      <c r="AS82" s="13">
        <f t="shared" si="156"/>
        <v>48.56610319627961</v>
      </c>
      <c r="AT82" s="13">
        <f t="shared" si="156"/>
        <v>42.51310253192589</v>
      </c>
      <c r="AU82" s="13">
        <f t="shared" si="156"/>
        <v>7.769247803941832</v>
      </c>
      <c r="AV82" s="24">
        <f t="shared" si="123"/>
        <v>40.79685539233778</v>
      </c>
      <c r="AW82" s="13">
        <f aca="true" t="shared" si="157" ref="AW82:BK82">AVERAGE(AW78:AW81)</f>
        <v>1.1515464678526612</v>
      </c>
      <c r="AX82" s="24">
        <f t="shared" si="157"/>
        <v>-9</v>
      </c>
      <c r="AY82" s="13">
        <f t="shared" si="157"/>
        <v>35.2660795427929</v>
      </c>
      <c r="AZ82" s="24">
        <f t="shared" si="157"/>
        <v>4.25</v>
      </c>
      <c r="BA82" s="13">
        <f t="shared" si="157"/>
        <v>29.377664308802174</v>
      </c>
      <c r="BB82" s="21">
        <f t="shared" si="157"/>
        <v>0.1620000000000001</v>
      </c>
      <c r="BC82" s="24">
        <f t="shared" si="157"/>
        <v>1.25</v>
      </c>
      <c r="BD82" s="13">
        <f t="shared" si="157"/>
        <v>44.59057478802642</v>
      </c>
      <c r="BE82" s="24">
        <f t="shared" si="157"/>
        <v>9.25</v>
      </c>
      <c r="BF82" s="13">
        <f t="shared" si="157"/>
        <v>82.54321450320887</v>
      </c>
      <c r="BG82" s="24">
        <f t="shared" si="157"/>
        <v>-12.25</v>
      </c>
      <c r="BH82" s="13">
        <f t="shared" si="157"/>
        <v>59.386564856888555</v>
      </c>
      <c r="BI82" s="13">
        <f t="shared" si="157"/>
        <v>47.256054714948235</v>
      </c>
      <c r="BJ82" s="13">
        <f t="shared" si="157"/>
        <v>41.23998688340282</v>
      </c>
      <c r="BK82" s="13">
        <f t="shared" si="157"/>
        <v>10.506160116175575</v>
      </c>
      <c r="BL82" s="24">
        <f t="shared" si="124"/>
        <v>36.749894598772656</v>
      </c>
      <c r="BM82" s="13">
        <f aca="true" t="shared" si="158" ref="BM82:CA82">AVERAGE(BM78:BM81)</f>
        <v>0.9977982854733687</v>
      </c>
      <c r="BN82" s="24">
        <f t="shared" si="158"/>
        <v>-7</v>
      </c>
      <c r="BO82" s="13">
        <f t="shared" si="158"/>
        <v>37.24528044707967</v>
      </c>
      <c r="BP82" s="24">
        <f t="shared" si="158"/>
        <v>14.25</v>
      </c>
      <c r="BQ82" s="13">
        <f t="shared" si="158"/>
        <v>32.10659033599128</v>
      </c>
      <c r="BR82" s="21">
        <f t="shared" si="158"/>
        <v>1.2382499999999999</v>
      </c>
      <c r="BS82" s="24">
        <f t="shared" si="158"/>
        <v>0.75</v>
      </c>
      <c r="BT82" s="13">
        <f t="shared" si="158"/>
        <v>49.085054181149054</v>
      </c>
      <c r="BU82" s="24">
        <f t="shared" si="158"/>
        <v>4.5</v>
      </c>
      <c r="BV82" s="13">
        <f t="shared" si="158"/>
        <v>84.74749539971376</v>
      </c>
      <c r="BW82" s="24">
        <f t="shared" si="158"/>
        <v>-9.75</v>
      </c>
      <c r="BX82" s="13">
        <f t="shared" si="158"/>
        <v>52.22006406324542</v>
      </c>
      <c r="BY82" s="13">
        <f t="shared" si="158"/>
        <v>37.97451100661078</v>
      </c>
      <c r="BZ82" s="13">
        <f t="shared" si="158"/>
        <v>54.15899952293328</v>
      </c>
      <c r="CA82" s="13">
        <f t="shared" si="158"/>
        <v>5.678797791862604</v>
      </c>
      <c r="CB82" s="24">
        <f t="shared" si="125"/>
        <v>32.295713214748176</v>
      </c>
      <c r="CC82" s="13">
        <f aca="true" t="shared" si="159" ref="CC82:CQ82">AVERAGE(CC78:CC81)</f>
        <v>2.187691678593335</v>
      </c>
      <c r="CD82" s="24">
        <f t="shared" si="159"/>
        <v>-9.25</v>
      </c>
      <c r="CE82" s="13">
        <f t="shared" si="159"/>
        <v>38.24669880528191</v>
      </c>
      <c r="CF82" s="24">
        <f t="shared" si="159"/>
        <v>9.25</v>
      </c>
      <c r="CG82" s="13">
        <f t="shared" si="159"/>
        <v>32.72636763781178</v>
      </c>
      <c r="CH82" s="21">
        <f t="shared" si="159"/>
        <v>0.5632499999999999</v>
      </c>
      <c r="CI82" s="24">
        <f t="shared" si="159"/>
        <v>5.25</v>
      </c>
      <c r="CJ82" s="13">
        <f t="shared" si="159"/>
        <v>54.247013204778874</v>
      </c>
      <c r="CK82" s="24">
        <f t="shared" si="159"/>
        <v>12.25</v>
      </c>
      <c r="CL82" s="13">
        <f t="shared" si="159"/>
        <v>82.52200796478726</v>
      </c>
      <c r="CM82" s="24">
        <f t="shared" si="159"/>
        <v>3.25</v>
      </c>
      <c r="CN82" s="13">
        <f t="shared" si="159"/>
        <v>55.85307063508698</v>
      </c>
      <c r="CO82" s="13">
        <f t="shared" si="159"/>
        <v>52.04883672186125</v>
      </c>
      <c r="CP82" s="13">
        <f t="shared" si="159"/>
        <v>40.20645566967093</v>
      </c>
      <c r="CQ82" s="13">
        <f t="shared" si="159"/>
        <v>6.408509746384405</v>
      </c>
      <c r="CR82" s="24">
        <f t="shared" si="126"/>
        <v>45.640326975476846</v>
      </c>
      <c r="CS82" s="13">
        <f aca="true" t="shared" si="160" ref="CS82:DG82">AVERAGE(CS78:CS81)</f>
        <v>1.3361978620834205</v>
      </c>
      <c r="CT82" s="24">
        <f t="shared" si="160"/>
        <v>-1.75</v>
      </c>
      <c r="CU82" s="13">
        <f t="shared" si="160"/>
        <v>33.707823507601034</v>
      </c>
      <c r="CV82" s="24">
        <f t="shared" si="160"/>
        <v>7.75</v>
      </c>
      <c r="CW82" s="13">
        <f t="shared" si="160"/>
        <v>30.172413793103445</v>
      </c>
      <c r="CX82" s="21">
        <f t="shared" si="160"/>
        <v>-0.683</v>
      </c>
      <c r="CY82" s="24">
        <f t="shared" si="160"/>
        <v>1</v>
      </c>
      <c r="CZ82" s="13">
        <f t="shared" si="160"/>
        <v>50.23544679273267</v>
      </c>
      <c r="DA82" s="24">
        <f t="shared" si="160"/>
        <v>11.25</v>
      </c>
      <c r="DB82" s="13">
        <f t="shared" si="160"/>
        <v>86.52947719688542</v>
      </c>
      <c r="DC82" s="24">
        <f t="shared" si="160"/>
        <v>-12.75</v>
      </c>
      <c r="DD82" s="13">
        <f t="shared" si="160"/>
        <v>52.20059325176121</v>
      </c>
      <c r="DE82" s="13">
        <f t="shared" si="160"/>
        <v>51.70003707823507</v>
      </c>
      <c r="DF82" s="13">
        <f t="shared" si="160"/>
        <v>39.92028179458658</v>
      </c>
      <c r="DG82" s="13">
        <f t="shared" si="160"/>
        <v>7.361883574341861</v>
      </c>
      <c r="DH82" s="24">
        <f t="shared" si="127"/>
        <v>44.33815350389321</v>
      </c>
      <c r="DI82" s="13">
        <f aca="true" t="shared" si="161" ref="DI82:DW82">AVERAGE(DI78:DI81)</f>
        <v>1.017797552836485</v>
      </c>
      <c r="DJ82" s="24">
        <f t="shared" si="161"/>
        <v>-4.25</v>
      </c>
      <c r="DK82" s="13">
        <f t="shared" si="161"/>
        <v>39.36506867761917</v>
      </c>
      <c r="DL82" s="24">
        <f t="shared" si="161"/>
        <v>1.25</v>
      </c>
      <c r="DM82" s="13">
        <f t="shared" si="161"/>
        <v>31.440210072717477</v>
      </c>
      <c r="DN82" s="21">
        <f t="shared" si="161"/>
        <v>0.2935</v>
      </c>
      <c r="DO82" s="24">
        <f t="shared" si="161"/>
        <v>-5.25</v>
      </c>
      <c r="DP82" s="13">
        <f t="shared" si="161"/>
        <v>52.538378669539455</v>
      </c>
      <c r="DQ82" s="24">
        <f t="shared" si="161"/>
        <v>17.5</v>
      </c>
      <c r="DR82" s="13">
        <f t="shared" si="161"/>
        <v>76.1968085106383</v>
      </c>
      <c r="DS82" s="24">
        <f t="shared" si="161"/>
        <v>-13.25</v>
      </c>
      <c r="DT82" s="13">
        <f t="shared" si="161"/>
        <v>57.27848101265823</v>
      </c>
      <c r="DU82" s="13">
        <f t="shared" si="161"/>
        <v>39.33476972798276</v>
      </c>
      <c r="DV82" s="13">
        <f t="shared" si="161"/>
        <v>52.90533261513601</v>
      </c>
      <c r="DW82" s="13">
        <f t="shared" si="161"/>
        <v>6.194451925666577</v>
      </c>
      <c r="DX82" s="24">
        <f t="shared" si="128"/>
        <v>33.14031780231618</v>
      </c>
      <c r="DY82" s="13">
        <f aca="true" t="shared" si="162" ref="DY82:EM82">AVERAGE(DY78:DY81)</f>
        <v>1.5654457312146512</v>
      </c>
      <c r="DZ82" s="24">
        <f t="shared" si="162"/>
        <v>-16.25</v>
      </c>
      <c r="EA82" s="13">
        <f t="shared" si="162"/>
        <v>40.33992702131746</v>
      </c>
      <c r="EB82" s="24">
        <f t="shared" si="162"/>
        <v>-5.5</v>
      </c>
      <c r="EC82" s="13">
        <f t="shared" si="162"/>
        <v>37.739261250880226</v>
      </c>
      <c r="ED82" s="21">
        <f t="shared" si="162"/>
        <v>-1.086</v>
      </c>
      <c r="EE82" s="24">
        <f t="shared" si="162"/>
        <v>-7.5</v>
      </c>
      <c r="EF82" s="13">
        <f t="shared" si="162"/>
        <v>45.715703220024324</v>
      </c>
      <c r="EG82" s="24">
        <f t="shared" si="162"/>
        <v>17.5</v>
      </c>
      <c r="EH82" s="13">
        <f t="shared" si="162"/>
        <v>77.6966903527303</v>
      </c>
      <c r="EI82" s="24">
        <f t="shared" si="162"/>
        <v>-4.5</v>
      </c>
      <c r="EJ82" s="13">
        <f t="shared" si="162"/>
        <v>54.497151270725304</v>
      </c>
      <c r="EK82" s="13">
        <f t="shared" si="162"/>
        <v>43.67838166570642</v>
      </c>
      <c r="EL82" s="13">
        <f t="shared" si="162"/>
        <v>48.10031368030216</v>
      </c>
      <c r="EM82" s="13">
        <f t="shared" si="162"/>
        <v>7.368286281288009</v>
      </c>
      <c r="EN82" s="24">
        <f t="shared" si="129"/>
        <v>36.31009538441841</v>
      </c>
      <c r="EO82" s="13">
        <f aca="true" t="shared" si="163" ref="EO82:FC82">AVERAGE(EO78:EO81)</f>
        <v>0.8530183727034121</v>
      </c>
      <c r="EP82" s="24">
        <f t="shared" si="163"/>
        <v>-3</v>
      </c>
      <c r="EQ82" s="13">
        <f t="shared" si="163"/>
        <v>34.22750706801929</v>
      </c>
      <c r="ER82" s="24">
        <f t="shared" si="163"/>
        <v>10.25</v>
      </c>
      <c r="ES82" s="13">
        <f t="shared" si="163"/>
        <v>30.9580908032596</v>
      </c>
      <c r="ET82" s="21">
        <f t="shared" si="163"/>
        <v>0.48925</v>
      </c>
      <c r="EU82" s="24">
        <f t="shared" si="163"/>
        <v>2.5</v>
      </c>
      <c r="EV82" s="13">
        <f t="shared" si="163"/>
        <v>47.091468484949274</v>
      </c>
      <c r="EW82" s="24">
        <f t="shared" si="163"/>
        <v>10.75</v>
      </c>
      <c r="EX82" s="13">
        <f t="shared" si="163"/>
        <v>83.66605687676702</v>
      </c>
      <c r="EY82" s="24">
        <f t="shared" si="163"/>
        <v>-5.5</v>
      </c>
      <c r="EZ82" s="13">
        <f t="shared" si="163"/>
        <v>55.93796773657077</v>
      </c>
      <c r="FA82" s="13">
        <f t="shared" si="163"/>
        <v>47.879427906203226</v>
      </c>
      <c r="FB82" s="13">
        <f t="shared" si="163"/>
        <v>43.73390986196574</v>
      </c>
      <c r="FC82" s="13">
        <f t="shared" si="163"/>
        <v>6.781639780475636</v>
      </c>
      <c r="FD82" s="24">
        <f t="shared" si="130"/>
        <v>41.09778812572759</v>
      </c>
      <c r="FE82" s="13">
        <f>AVERAGE(FE78:FE81)</f>
        <v>1.6050224513553963</v>
      </c>
      <c r="FF82" s="125" t="s">
        <v>193</v>
      </c>
      <c r="FG82" s="125" t="s">
        <v>193</v>
      </c>
      <c r="FH82" s="125" t="s">
        <v>193</v>
      </c>
      <c r="FI82" s="125" t="s">
        <v>193</v>
      </c>
      <c r="FJ82" s="125" t="s">
        <v>193</v>
      </c>
      <c r="FK82" s="125" t="s">
        <v>193</v>
      </c>
      <c r="FL82" s="125" t="s">
        <v>193</v>
      </c>
      <c r="FM82" s="125" t="s">
        <v>193</v>
      </c>
      <c r="FN82" s="125" t="s">
        <v>193</v>
      </c>
      <c r="FO82" s="125" t="s">
        <v>193</v>
      </c>
      <c r="FP82" s="125" t="s">
        <v>193</v>
      </c>
      <c r="FQ82" s="125" t="s">
        <v>193</v>
      </c>
      <c r="FR82" s="125" t="s">
        <v>193</v>
      </c>
      <c r="FS82" s="125" t="s">
        <v>193</v>
      </c>
      <c r="FT82" s="125" t="s">
        <v>193</v>
      </c>
      <c r="FU82" s="125" t="s">
        <v>193</v>
      </c>
    </row>
    <row r="83" spans="1:177" ht="12">
      <c r="A83" s="1" t="s">
        <v>299</v>
      </c>
      <c r="B83" s="23">
        <f>20-50</f>
        <v>-30</v>
      </c>
      <c r="C83" s="8">
        <v>30.451160753394657</v>
      </c>
      <c r="D83" s="23">
        <f>48-23</f>
        <v>25</v>
      </c>
      <c r="E83" s="8">
        <v>28.71368082931815</v>
      </c>
      <c r="F83" s="20">
        <v>1.541</v>
      </c>
      <c r="G83" s="23">
        <f>40-14</f>
        <v>26</v>
      </c>
      <c r="H83" s="8">
        <v>45.740984085267925</v>
      </c>
      <c r="I83" s="23">
        <f>11-3</f>
        <v>8</v>
      </c>
      <c r="J83" s="8">
        <v>86.00379617462404</v>
      </c>
      <c r="K83" s="23">
        <f>26-16</f>
        <v>10</v>
      </c>
      <c r="L83" s="8">
        <v>57.678493210687684</v>
      </c>
      <c r="M83" s="8">
        <v>61.19433493940721</v>
      </c>
      <c r="N83" s="8">
        <v>32.039713826836035</v>
      </c>
      <c r="O83" s="8">
        <v>5.682581398744342</v>
      </c>
      <c r="P83" s="23">
        <f t="shared" si="153"/>
        <v>55.51175354066287</v>
      </c>
      <c r="Q83" s="8">
        <v>1.0833698350124106</v>
      </c>
      <c r="R83" s="23">
        <f>12-59</f>
        <v>-47</v>
      </c>
      <c r="S83" s="8">
        <v>29.524560021013922</v>
      </c>
      <c r="T83" s="23">
        <f>44-30</f>
        <v>14</v>
      </c>
      <c r="U83" s="8">
        <v>25.672007705104633</v>
      </c>
      <c r="V83" s="20">
        <v>-1.037</v>
      </c>
      <c r="W83" s="23">
        <f>37-20</f>
        <v>17</v>
      </c>
      <c r="X83" s="8">
        <v>45.740984085267925</v>
      </c>
      <c r="Y83" s="23">
        <f>12-3</f>
        <v>9</v>
      </c>
      <c r="Z83" s="8">
        <v>85.43910340600648</v>
      </c>
      <c r="AA83" s="23">
        <f>21-23</f>
        <v>-2</v>
      </c>
      <c r="AB83" s="8">
        <v>56.03712459504422</v>
      </c>
      <c r="AC83" s="8">
        <v>44.54075825234218</v>
      </c>
      <c r="AD83" s="8">
        <v>43.91034060064793</v>
      </c>
      <c r="AE83" s="8">
        <v>10.822169687417913</v>
      </c>
      <c r="AF83" s="23">
        <f>AC83-AE83</f>
        <v>33.71858856492427</v>
      </c>
      <c r="AG83" s="8">
        <v>0.7267314595919796</v>
      </c>
      <c r="AH83" s="23">
        <f>11-53</f>
        <v>-42</v>
      </c>
      <c r="AI83" s="8">
        <v>35.80606603914537</v>
      </c>
      <c r="AJ83" s="23">
        <f>45-23</f>
        <v>22</v>
      </c>
      <c r="AK83" s="8">
        <v>32.49663827879875</v>
      </c>
      <c r="AL83" s="20">
        <v>2.873</v>
      </c>
      <c r="AM83" s="23">
        <f>29-9</f>
        <v>20</v>
      </c>
      <c r="AN83" s="8">
        <v>61.57926191543404</v>
      </c>
      <c r="AO83" s="23">
        <f>13-3</f>
        <v>10</v>
      </c>
      <c r="AP83" s="8">
        <v>84.22232182877633</v>
      </c>
      <c r="AQ83" s="23">
        <f>23-14</f>
        <v>9</v>
      </c>
      <c r="AR83" s="8">
        <v>63.334827431645</v>
      </c>
      <c r="AS83" s="8">
        <v>53.12266547138802</v>
      </c>
      <c r="AT83" s="8">
        <v>43.14208874943971</v>
      </c>
      <c r="AU83" s="8">
        <v>3.7352457791722693</v>
      </c>
      <c r="AV83" s="23">
        <f>AS83-AU83</f>
        <v>49.38741969221575</v>
      </c>
      <c r="AW83" s="8">
        <v>0</v>
      </c>
      <c r="AX83" s="23">
        <f>13-46</f>
        <v>-33</v>
      </c>
      <c r="AY83" s="8">
        <v>40.52159816916182</v>
      </c>
      <c r="AZ83" s="23">
        <f>37-34</f>
        <v>3</v>
      </c>
      <c r="BA83" s="8">
        <v>28.60207876418423</v>
      </c>
      <c r="BB83" s="20">
        <v>0.154</v>
      </c>
      <c r="BC83" s="23">
        <f>27-21</f>
        <v>6</v>
      </c>
      <c r="BD83" s="8">
        <v>51.82607037284257</v>
      </c>
      <c r="BE83" s="23">
        <f>8-2</f>
        <v>6</v>
      </c>
      <c r="BF83" s="8">
        <v>89.32964622866406</v>
      </c>
      <c r="BG83" s="23">
        <f>12-15</f>
        <v>-3</v>
      </c>
      <c r="BH83" s="8">
        <v>72.95699437398684</v>
      </c>
      <c r="BI83" s="8">
        <v>49.61857537904072</v>
      </c>
      <c r="BJ83" s="8">
        <v>45.713740821970056</v>
      </c>
      <c r="BK83" s="8">
        <v>4.262420139219986</v>
      </c>
      <c r="BL83" s="23">
        <f>BI83-BK83</f>
        <v>45.35615523982074</v>
      </c>
      <c r="BM83" s="8">
        <v>0.4052636597692381</v>
      </c>
      <c r="BN83" s="23">
        <f>12-48</f>
        <v>-36</v>
      </c>
      <c r="BO83" s="8">
        <v>39.21568627450981</v>
      </c>
      <c r="BP83" s="23">
        <f>30-34</f>
        <v>-4</v>
      </c>
      <c r="BQ83" s="8">
        <v>35.81883457608395</v>
      </c>
      <c r="BR83" s="20">
        <v>0.665</v>
      </c>
      <c r="BS83" s="23">
        <f>17-21</f>
        <v>-4</v>
      </c>
      <c r="BT83" s="8">
        <v>62.144435238884284</v>
      </c>
      <c r="BU83" s="23">
        <f>10-4</f>
        <v>6</v>
      </c>
      <c r="BV83" s="8">
        <v>86.37807235570284</v>
      </c>
      <c r="BW83" s="23">
        <f>14-22</f>
        <v>-8</v>
      </c>
      <c r="BX83" s="8">
        <v>64.04998619165976</v>
      </c>
      <c r="BY83" s="8">
        <v>37.800331400165696</v>
      </c>
      <c r="BZ83" s="8">
        <v>55.64070698702016</v>
      </c>
      <c r="CA83" s="8">
        <v>5.033140016570008</v>
      </c>
      <c r="CB83" s="23">
        <f>BY83-CA83</f>
        <v>32.76719138359569</v>
      </c>
      <c r="CC83" s="8">
        <v>1.5258215962441315</v>
      </c>
      <c r="CD83" s="23">
        <f>17-49</f>
        <v>-32</v>
      </c>
      <c r="CE83" s="8">
        <v>33.33686777648182</v>
      </c>
      <c r="CF83" s="23">
        <f>38-29</f>
        <v>9</v>
      </c>
      <c r="CG83" s="8">
        <v>32.414378114728024</v>
      </c>
      <c r="CH83" s="20">
        <v>0.621</v>
      </c>
      <c r="CI83" s="23">
        <f>28-14</f>
        <v>14</v>
      </c>
      <c r="CJ83" s="8">
        <v>58.26529530272505</v>
      </c>
      <c r="CK83" s="23">
        <f>28-3</f>
        <v>25</v>
      </c>
      <c r="CL83" s="8">
        <v>69.14431131375251</v>
      </c>
      <c r="CM83" s="23">
        <f>17-21</f>
        <v>-4</v>
      </c>
      <c r="CN83" s="8">
        <v>61.658360725267734</v>
      </c>
      <c r="CO83" s="8">
        <v>62.114303891421905</v>
      </c>
      <c r="CP83" s="8">
        <v>33.89884423709045</v>
      </c>
      <c r="CQ83" s="8">
        <v>3.912628565369526</v>
      </c>
      <c r="CR83" s="23">
        <f>CO83-CQ83</f>
        <v>58.20167532605238</v>
      </c>
      <c r="CS83" s="8">
        <v>0.0742233061181211</v>
      </c>
      <c r="CT83" s="23">
        <f>19-47</f>
        <v>-28</v>
      </c>
      <c r="CU83" s="8">
        <v>33.83640205252038</v>
      </c>
      <c r="CV83" s="23">
        <f>45-19</f>
        <v>26</v>
      </c>
      <c r="CW83" s="8">
        <v>36.311500150920615</v>
      </c>
      <c r="CX83" s="20">
        <v>1.682</v>
      </c>
      <c r="CY83" s="23">
        <f>34-5</f>
        <v>29</v>
      </c>
      <c r="CZ83" s="8">
        <v>61.009658919408395</v>
      </c>
      <c r="DA83" s="23">
        <f>6-2</f>
        <v>4</v>
      </c>
      <c r="DB83" s="8">
        <v>91.24660428614548</v>
      </c>
      <c r="DC83" s="23">
        <f>19-14</f>
        <v>5</v>
      </c>
      <c r="DD83" s="8">
        <v>67.01629942650166</v>
      </c>
      <c r="DE83" s="8">
        <v>54.74645336552973</v>
      </c>
      <c r="DF83" s="8">
        <v>44.23483247811651</v>
      </c>
      <c r="DG83" s="8">
        <v>0.762149109568367</v>
      </c>
      <c r="DH83" s="23">
        <f>DE83-DG83</f>
        <v>53.98430425596136</v>
      </c>
      <c r="DI83" s="8">
        <v>0.2565650467853909</v>
      </c>
      <c r="DJ83" s="23">
        <f>15-45</f>
        <v>-30</v>
      </c>
      <c r="DK83" s="8">
        <v>39.82083019900157</v>
      </c>
      <c r="DL83" s="23">
        <f>26-35</f>
        <v>-9</v>
      </c>
      <c r="DM83" s="8">
        <v>38.99336661423784</v>
      </c>
      <c r="DN83" s="20">
        <v>-1.237</v>
      </c>
      <c r="DO83" s="23">
        <f>19-15</f>
        <v>4</v>
      </c>
      <c r="DP83" s="8">
        <v>65.98509197839022</v>
      </c>
      <c r="DQ83" s="23">
        <f>13-5</f>
        <v>8</v>
      </c>
      <c r="DR83" s="8">
        <v>81.85734801340354</v>
      </c>
      <c r="DS83" s="23">
        <f>11-22</f>
        <v>-11</v>
      </c>
      <c r="DT83" s="8">
        <v>67.2433837105929</v>
      </c>
      <c r="DU83" s="8">
        <v>47.03549203309854</v>
      </c>
      <c r="DV83" s="8">
        <v>43.670929357860906</v>
      </c>
      <c r="DW83" s="8">
        <v>9.293578609040551</v>
      </c>
      <c r="DX83" s="23">
        <f>DU83-DW83</f>
        <v>37.74191342405799</v>
      </c>
      <c r="DY83" s="8">
        <v>0</v>
      </c>
      <c r="DZ83" s="23">
        <f>13-44</f>
        <v>-31</v>
      </c>
      <c r="EA83" s="8">
        <v>43.48956640447247</v>
      </c>
      <c r="EB83" s="23">
        <f>41-30</f>
        <v>11</v>
      </c>
      <c r="EC83" s="8">
        <v>28.90203471364493</v>
      </c>
      <c r="ED83" s="20">
        <v>-1.598</v>
      </c>
      <c r="EE83" s="23">
        <f>29-21</f>
        <v>8</v>
      </c>
      <c r="EF83" s="8">
        <v>49.83423259442241</v>
      </c>
      <c r="EG83" s="23">
        <f>11-1</f>
        <v>10</v>
      </c>
      <c r="EH83" s="8">
        <v>88.83832802444257</v>
      </c>
      <c r="EI83" s="23">
        <f>14-26</f>
        <v>-12</v>
      </c>
      <c r="EJ83" s="8">
        <v>59.299226418773976</v>
      </c>
      <c r="EK83" s="8">
        <v>58.62965611389196</v>
      </c>
      <c r="EL83" s="8">
        <v>36.312812845348766</v>
      </c>
      <c r="EM83" s="8">
        <v>5.0575310407592795</v>
      </c>
      <c r="EN83" s="23">
        <f>EK83-EM83</f>
        <v>53.57212507313268</v>
      </c>
      <c r="EO83" s="8">
        <v>0</v>
      </c>
      <c r="EP83" s="23">
        <f>15-49</f>
        <v>-34</v>
      </c>
      <c r="EQ83" s="8">
        <v>35.946575724019866</v>
      </c>
      <c r="ER83" s="23">
        <f>40-28</f>
        <v>12</v>
      </c>
      <c r="ES83" s="8">
        <v>31.466925726397598</v>
      </c>
      <c r="ET83" s="20">
        <v>0.528</v>
      </c>
      <c r="EU83" s="23">
        <f>30-16</f>
        <v>14</v>
      </c>
      <c r="EV83" s="8">
        <v>54.06082921758979</v>
      </c>
      <c r="EW83" s="23">
        <f>12-3</f>
        <v>9</v>
      </c>
      <c r="EX83" s="8">
        <v>85.58482054905264</v>
      </c>
      <c r="EY83" s="23">
        <f>18-19</f>
        <v>-1</v>
      </c>
      <c r="EZ83" s="8">
        <v>63.084667694753364</v>
      </c>
      <c r="FA83" s="8">
        <v>53.02074063003145</v>
      </c>
      <c r="FB83" s="8">
        <v>41.06006154933118</v>
      </c>
      <c r="FC83" s="8">
        <v>5.375036515193718</v>
      </c>
      <c r="FD83" s="23">
        <f>FA83-FC83</f>
        <v>47.64570411483773</v>
      </c>
      <c r="FE83" s="8">
        <v>0.5441613054436512</v>
      </c>
      <c r="FF83" s="125" t="s">
        <v>193</v>
      </c>
      <c r="FG83" s="125" t="s">
        <v>193</v>
      </c>
      <c r="FH83" s="125" t="s">
        <v>193</v>
      </c>
      <c r="FI83" s="125" t="s">
        <v>193</v>
      </c>
      <c r="FJ83" s="125" t="s">
        <v>193</v>
      </c>
      <c r="FK83" s="125" t="s">
        <v>193</v>
      </c>
      <c r="FL83" s="125" t="s">
        <v>193</v>
      </c>
      <c r="FM83" s="125" t="s">
        <v>193</v>
      </c>
      <c r="FN83" s="125" t="s">
        <v>193</v>
      </c>
      <c r="FO83" s="125" t="s">
        <v>193</v>
      </c>
      <c r="FP83" s="125" t="s">
        <v>193</v>
      </c>
      <c r="FQ83" s="125" t="s">
        <v>193</v>
      </c>
      <c r="FR83" s="125" t="s">
        <v>193</v>
      </c>
      <c r="FS83" s="125" t="s">
        <v>193</v>
      </c>
      <c r="FT83" s="125" t="s">
        <v>193</v>
      </c>
      <c r="FU83" s="125" t="s">
        <v>193</v>
      </c>
    </row>
    <row r="84" spans="1:177" ht="12">
      <c r="A84" s="1" t="s">
        <v>36</v>
      </c>
      <c r="B84" s="23">
        <f>37-34</f>
        <v>3</v>
      </c>
      <c r="C84" s="8">
        <v>29.61892247043364</v>
      </c>
      <c r="D84" s="23">
        <f>56-22</f>
        <v>34</v>
      </c>
      <c r="E84" s="8">
        <v>22.382829610162066</v>
      </c>
      <c r="F84" s="20">
        <v>1.949</v>
      </c>
      <c r="G84" s="23">
        <f>40-20</f>
        <v>20</v>
      </c>
      <c r="H84" s="8">
        <v>40.0408818805665</v>
      </c>
      <c r="I84" s="23">
        <f>9-2</f>
        <v>7</v>
      </c>
      <c r="J84" s="8">
        <v>89.24514527668272</v>
      </c>
      <c r="K84" s="23">
        <f>20-27</f>
        <v>-7</v>
      </c>
      <c r="L84" s="8">
        <v>52.77850781135932</v>
      </c>
      <c r="M84" s="8">
        <v>60.960724193312885</v>
      </c>
      <c r="N84" s="8">
        <v>31.587093006278288</v>
      </c>
      <c r="O84" s="8">
        <v>4.48532632501095</v>
      </c>
      <c r="P84" s="23">
        <f t="shared" si="153"/>
        <v>56.47539786830193</v>
      </c>
      <c r="Q84" s="8">
        <v>2.966856475397868</v>
      </c>
      <c r="R84" s="23">
        <f>31-47</f>
        <v>-16</v>
      </c>
      <c r="S84" s="8">
        <v>22.38858243586376</v>
      </c>
      <c r="T84" s="23">
        <f>42-38</f>
        <v>4</v>
      </c>
      <c r="U84" s="8">
        <v>19.963225636984504</v>
      </c>
      <c r="V84" s="20">
        <v>-2.028</v>
      </c>
      <c r="W84" s="23">
        <f>29-30</f>
        <v>-1</v>
      </c>
      <c r="X84" s="8">
        <v>40.83705454863848</v>
      </c>
      <c r="Y84" s="23">
        <f>14-3</f>
        <v>11</v>
      </c>
      <c r="Z84" s="8">
        <v>82.1556781367656</v>
      </c>
      <c r="AA84" s="23">
        <f>9-32</f>
        <v>-23</v>
      </c>
      <c r="AB84" s="8">
        <v>58.92653883197618</v>
      </c>
      <c r="AC84" s="8">
        <v>47.16749846773487</v>
      </c>
      <c r="AD84" s="8">
        <v>43.253655546799756</v>
      </c>
      <c r="AE84" s="8">
        <v>4.65808598196305</v>
      </c>
      <c r="AF84" s="23">
        <f>AC84-AE84</f>
        <v>42.509412485771826</v>
      </c>
      <c r="AG84" s="8">
        <v>4.920760003502321</v>
      </c>
      <c r="AH84" s="23">
        <f>42-26</f>
        <v>16</v>
      </c>
      <c r="AI84" s="8">
        <v>31.10712684894666</v>
      </c>
      <c r="AJ84" s="23">
        <f>44-31</f>
        <v>13</v>
      </c>
      <c r="AK84" s="8">
        <v>25.59390407888839</v>
      </c>
      <c r="AL84" s="20">
        <v>1.921</v>
      </c>
      <c r="AM84" s="23">
        <f>29-24</f>
        <v>5</v>
      </c>
      <c r="AN84" s="8">
        <v>47.355445988346034</v>
      </c>
      <c r="AO84" s="23">
        <f>12-0</f>
        <v>12</v>
      </c>
      <c r="AP84" s="8">
        <v>87.6213954878231</v>
      </c>
      <c r="AQ84" s="23">
        <f>22-21</f>
        <v>1</v>
      </c>
      <c r="AR84" s="8">
        <v>56.79067682653519</v>
      </c>
      <c r="AS84" s="8">
        <v>42.66397728970566</v>
      </c>
      <c r="AT84" s="8">
        <v>52.211265501269985</v>
      </c>
      <c r="AU84" s="8">
        <v>3.847303152547438</v>
      </c>
      <c r="AV84" s="23">
        <f>AS84-AU84</f>
        <v>38.81667413715822</v>
      </c>
      <c r="AW84" s="8">
        <v>1.2774540564769161</v>
      </c>
      <c r="AX84" s="23">
        <f>13-56</f>
        <v>-43</v>
      </c>
      <c r="AY84" s="8">
        <v>31.486602460188806</v>
      </c>
      <c r="AZ84" s="23">
        <f>32-41</f>
        <v>-9</v>
      </c>
      <c r="BA84" s="8">
        <v>27.014398779441212</v>
      </c>
      <c r="BB84" s="20">
        <v>-1.971</v>
      </c>
      <c r="BC84" s="23">
        <f>31-28</f>
        <v>3</v>
      </c>
      <c r="BD84" s="8">
        <v>41.72785353294555</v>
      </c>
      <c r="BE84" s="23">
        <f>3-5</f>
        <v>-2</v>
      </c>
      <c r="BF84" s="8">
        <v>91.59912272337179</v>
      </c>
      <c r="BG84" s="23">
        <f>4-31</f>
        <v>-27</v>
      </c>
      <c r="BH84" s="8">
        <v>65.4763039954229</v>
      </c>
      <c r="BI84" s="8">
        <v>59.76447029655765</v>
      </c>
      <c r="BJ84" s="8">
        <v>39.01020310861066</v>
      </c>
      <c r="BK84" s="8">
        <v>0.519691046057023</v>
      </c>
      <c r="BL84" s="23">
        <f>BI84-BK84</f>
        <v>59.24477925050063</v>
      </c>
      <c r="BM84" s="8">
        <v>0.7056355487746734</v>
      </c>
      <c r="BN84" s="23">
        <f>24-28</f>
        <v>-4</v>
      </c>
      <c r="BO84" s="8">
        <v>48.253244959955815</v>
      </c>
      <c r="BP84" s="23">
        <f>25-35</f>
        <v>-10</v>
      </c>
      <c r="BQ84" s="8">
        <v>39.988953327809995</v>
      </c>
      <c r="BR84" s="20">
        <v>-0.815</v>
      </c>
      <c r="BS84" s="23">
        <f>12-19</f>
        <v>-7</v>
      </c>
      <c r="BT84" s="8">
        <v>68.44103838718586</v>
      </c>
      <c r="BU84" s="23">
        <f>8-6</f>
        <v>2</v>
      </c>
      <c r="BV84" s="8">
        <v>86.72328086164043</v>
      </c>
      <c r="BW84" s="23">
        <f>8-24</f>
        <v>-16</v>
      </c>
      <c r="BX84" s="8">
        <v>67.4468378900856</v>
      </c>
      <c r="BY84" s="8">
        <v>36.73708920187793</v>
      </c>
      <c r="BZ84" s="8">
        <v>53.74206020436344</v>
      </c>
      <c r="CA84" s="8">
        <v>8.340237503452084</v>
      </c>
      <c r="CB84" s="23">
        <f>BY84-CA84</f>
        <v>28.396851698425845</v>
      </c>
      <c r="CC84" s="8">
        <v>1.1806130903065453</v>
      </c>
      <c r="CD84" s="23">
        <f>25-50</f>
        <v>-25</v>
      </c>
      <c r="CE84" s="8">
        <v>25.405577351288304</v>
      </c>
      <c r="CF84" s="23">
        <f>27-47</f>
        <v>-20</v>
      </c>
      <c r="CG84" s="8">
        <v>25.72367723465168</v>
      </c>
      <c r="CH84" s="20">
        <v>-0.85</v>
      </c>
      <c r="CI84" s="23">
        <f>16-21</f>
        <v>-5</v>
      </c>
      <c r="CJ84" s="8">
        <v>63.7790266143569</v>
      </c>
      <c r="CK84" s="23">
        <f>25-2</f>
        <v>23</v>
      </c>
      <c r="CL84" s="8">
        <v>73.555296363058</v>
      </c>
      <c r="CM84" s="23">
        <f>18-29</f>
        <v>-11</v>
      </c>
      <c r="CN84" s="8">
        <v>53.101473862792915</v>
      </c>
      <c r="CO84" s="8">
        <v>59.29381825893331</v>
      </c>
      <c r="CP84" s="8">
        <v>35.44693033612554</v>
      </c>
      <c r="CQ84" s="8">
        <v>5.259251404941152</v>
      </c>
      <c r="CR84" s="23">
        <f>CO84-CQ84</f>
        <v>54.03456685399215</v>
      </c>
      <c r="CS84" s="8">
        <v>0</v>
      </c>
      <c r="CT84" s="23">
        <f>28-38</f>
        <v>-10</v>
      </c>
      <c r="CU84" s="8">
        <v>33.90431632961062</v>
      </c>
      <c r="CV84" s="23">
        <f>44-28</f>
        <v>16</v>
      </c>
      <c r="CW84" s="8">
        <v>28.335345608210083</v>
      </c>
      <c r="CX84" s="20">
        <v>0.609</v>
      </c>
      <c r="CY84" s="23">
        <f>32-17</f>
        <v>15</v>
      </c>
      <c r="CZ84" s="8">
        <v>51.73558708119529</v>
      </c>
      <c r="DA84" s="23">
        <f>6-2</f>
        <v>4</v>
      </c>
      <c r="DB84" s="8">
        <v>92.66525807425295</v>
      </c>
      <c r="DC84" s="23">
        <f>13-22</f>
        <v>-9</v>
      </c>
      <c r="DD84" s="8">
        <v>65.31089646845759</v>
      </c>
      <c r="DE84" s="8">
        <v>51.90159975852702</v>
      </c>
      <c r="DF84" s="8">
        <v>44.32538484757018</v>
      </c>
      <c r="DG84" s="8">
        <v>2.799577422275883</v>
      </c>
      <c r="DH84" s="23">
        <f>DE84-DG84</f>
        <v>49.10202233625114</v>
      </c>
      <c r="DI84" s="8">
        <v>0.9734379716269244</v>
      </c>
      <c r="DJ84" s="23">
        <f>19-39</f>
        <v>-20</v>
      </c>
      <c r="DK84" s="8">
        <v>41.886069889899474</v>
      </c>
      <c r="DL84" s="23">
        <f>21-44</f>
        <v>-23</v>
      </c>
      <c r="DM84" s="8">
        <v>34.93127265267045</v>
      </c>
      <c r="DN84" s="20">
        <v>-2.449</v>
      </c>
      <c r="DO84" s="23">
        <f>12-15</f>
        <v>-3</v>
      </c>
      <c r="DP84" s="8">
        <v>72.30390480749504</v>
      </c>
      <c r="DQ84" s="23">
        <f>16-3</f>
        <v>13</v>
      </c>
      <c r="DR84" s="8">
        <v>81.34445736169049</v>
      </c>
      <c r="DS84" s="23">
        <f>6-23</f>
        <v>-17</v>
      </c>
      <c r="DT84" s="8">
        <v>71.13451412158928</v>
      </c>
      <c r="DU84" s="8">
        <v>42.734049100731724</v>
      </c>
      <c r="DV84" s="8">
        <v>52.027627709772275</v>
      </c>
      <c r="DW84" s="8">
        <v>4.5271148191205635</v>
      </c>
      <c r="DX84" s="23">
        <f>DU84-DW84</f>
        <v>38.20693428161116</v>
      </c>
      <c r="DY84" s="8">
        <v>0.7112083703754359</v>
      </c>
      <c r="DZ84" s="23">
        <f>20-34</f>
        <v>-14</v>
      </c>
      <c r="EA84" s="8">
        <v>46.291360592862254</v>
      </c>
      <c r="EB84" s="23">
        <f>33-37</f>
        <v>-4</v>
      </c>
      <c r="EC84" s="8">
        <v>30.5792108171358</v>
      </c>
      <c r="ED84" s="20">
        <v>-1.975</v>
      </c>
      <c r="EE84" s="23">
        <f>30-20</f>
        <v>10</v>
      </c>
      <c r="EF84" s="8">
        <v>49.76272508613405</v>
      </c>
      <c r="EG84" s="23">
        <f>20-0</f>
        <v>20</v>
      </c>
      <c r="EH84" s="8">
        <v>80.09490996554638</v>
      </c>
      <c r="EI84" s="23">
        <f>13-27</f>
        <v>-14</v>
      </c>
      <c r="EJ84" s="8">
        <v>60.040304231944354</v>
      </c>
      <c r="EK84" s="8">
        <v>43.49606708704414</v>
      </c>
      <c r="EL84" s="8">
        <v>44.796203601378146</v>
      </c>
      <c r="EM84" s="8">
        <v>7.7098095300006495</v>
      </c>
      <c r="EN84" s="23">
        <f>EK84-EM84</f>
        <v>35.78625755704349</v>
      </c>
      <c r="EO84" s="8">
        <v>3.9979197815770653</v>
      </c>
      <c r="EP84" s="23">
        <f>27-39</f>
        <v>-12</v>
      </c>
      <c r="EQ84" s="8">
        <v>34.36979870787166</v>
      </c>
      <c r="ER84" s="23">
        <f>38-34</f>
        <v>4</v>
      </c>
      <c r="ES84" s="8">
        <v>27.732525356829868</v>
      </c>
      <c r="ET84" s="20">
        <v>-0.339</v>
      </c>
      <c r="EU84" s="23">
        <f>28-21</f>
        <v>7</v>
      </c>
      <c r="EV84" s="8">
        <v>50.59749047208201</v>
      </c>
      <c r="EW84" s="23">
        <f>11-3</f>
        <v>8</v>
      </c>
      <c r="EX84" s="8">
        <v>86.19623774618034</v>
      </c>
      <c r="EY84" s="23">
        <f>13-26</f>
        <v>-13</v>
      </c>
      <c r="EZ84" s="8">
        <v>60.60435193173866</v>
      </c>
      <c r="FA84" s="8">
        <v>51.11447767987555</v>
      </c>
      <c r="FB84" s="8">
        <v>42.410614202542135</v>
      </c>
      <c r="FC84" s="8">
        <v>4.4939163988885795</v>
      </c>
      <c r="FD84" s="23">
        <f>FA84-FC84</f>
        <v>46.62056128098697</v>
      </c>
      <c r="FE84" s="8">
        <v>1.980991718693741</v>
      </c>
      <c r="FF84" s="125" t="s">
        <v>193</v>
      </c>
      <c r="FG84" s="125" t="s">
        <v>193</v>
      </c>
      <c r="FH84" s="125" t="s">
        <v>193</v>
      </c>
      <c r="FI84" s="125" t="s">
        <v>193</v>
      </c>
      <c r="FJ84" s="125" t="s">
        <v>193</v>
      </c>
      <c r="FK84" s="125" t="s">
        <v>193</v>
      </c>
      <c r="FL84" s="125" t="s">
        <v>193</v>
      </c>
      <c r="FM84" s="125" t="s">
        <v>193</v>
      </c>
      <c r="FN84" s="125" t="s">
        <v>193</v>
      </c>
      <c r="FO84" s="125" t="s">
        <v>193</v>
      </c>
      <c r="FP84" s="125" t="s">
        <v>193</v>
      </c>
      <c r="FQ84" s="125" t="s">
        <v>193</v>
      </c>
      <c r="FR84" s="125" t="s">
        <v>193</v>
      </c>
      <c r="FS84" s="125" t="s">
        <v>193</v>
      </c>
      <c r="FT84" s="125" t="s">
        <v>193</v>
      </c>
      <c r="FU84" s="125" t="s">
        <v>193</v>
      </c>
    </row>
    <row r="85" spans="1:177" ht="12">
      <c r="A85" s="1" t="s">
        <v>32</v>
      </c>
      <c r="B85" s="23">
        <f>25-30</f>
        <v>-5</v>
      </c>
      <c r="C85" s="8">
        <v>45.849029055336544</v>
      </c>
      <c r="D85" s="23">
        <f>37-40</f>
        <v>-3</v>
      </c>
      <c r="E85" s="8">
        <v>23.536282669002777</v>
      </c>
      <c r="F85" s="20">
        <v>1.298</v>
      </c>
      <c r="G85" s="23">
        <f>51-14</f>
        <v>37</v>
      </c>
      <c r="H85" s="8">
        <v>34.513067601109654</v>
      </c>
      <c r="I85" s="23">
        <f>12-3</f>
        <v>9</v>
      </c>
      <c r="J85" s="8">
        <v>84.92918674259016</v>
      </c>
      <c r="K85" s="23">
        <f>43-14</f>
        <v>29</v>
      </c>
      <c r="L85" s="8">
        <v>43.54504307198131</v>
      </c>
      <c r="M85" s="8">
        <v>59.51525770185428</v>
      </c>
      <c r="N85" s="8">
        <v>39.19404292597459</v>
      </c>
      <c r="O85" s="8">
        <v>1.0016060738793984</v>
      </c>
      <c r="P85" s="23">
        <f t="shared" si="153"/>
        <v>58.51365162797488</v>
      </c>
      <c r="Q85" s="8">
        <v>0.2890932982917214</v>
      </c>
      <c r="R85" s="23">
        <f>32-26</f>
        <v>6</v>
      </c>
      <c r="S85" s="8">
        <v>42.64074949654146</v>
      </c>
      <c r="T85" s="23">
        <f>27-45</f>
        <v>-18</v>
      </c>
      <c r="U85" s="8">
        <v>28.75404955783206</v>
      </c>
      <c r="V85" s="20">
        <v>-2.628</v>
      </c>
      <c r="W85" s="23">
        <f>37-20</f>
        <v>17</v>
      </c>
      <c r="X85" s="8">
        <v>42.693284300849314</v>
      </c>
      <c r="Y85" s="23">
        <f>13-0</f>
        <v>13</v>
      </c>
      <c r="Z85" s="8">
        <v>87.25155415462744</v>
      </c>
      <c r="AA85" s="23">
        <f>27-23</f>
        <v>4</v>
      </c>
      <c r="AB85" s="8">
        <v>49.86428508887138</v>
      </c>
      <c r="AC85" s="8">
        <v>47.67533490937746</v>
      </c>
      <c r="AD85" s="8">
        <v>48.08685754312232</v>
      </c>
      <c r="AE85" s="8">
        <v>1.1645214954907626</v>
      </c>
      <c r="AF85" s="23">
        <f>AC85-AE85</f>
        <v>46.5108134138867</v>
      </c>
      <c r="AG85" s="8">
        <v>3.0732860520094563</v>
      </c>
      <c r="AH85" s="23">
        <f>32-41</f>
        <v>-9</v>
      </c>
      <c r="AI85" s="8">
        <v>27.192589272374125</v>
      </c>
      <c r="AJ85" s="23">
        <f>34-45</f>
        <v>-11</v>
      </c>
      <c r="AK85" s="8">
        <v>21.44778126400717</v>
      </c>
      <c r="AL85" s="20">
        <v>0.277</v>
      </c>
      <c r="AM85" s="23">
        <f>44-21</f>
        <v>23</v>
      </c>
      <c r="AN85" s="8">
        <v>35.656656207978486</v>
      </c>
      <c r="AO85" s="23">
        <f>11-3</f>
        <v>8</v>
      </c>
      <c r="AP85" s="8">
        <v>85.87330046317048</v>
      </c>
      <c r="AQ85" s="23">
        <f>29-17</f>
        <v>12</v>
      </c>
      <c r="AR85" s="8">
        <v>53.70536381293889</v>
      </c>
      <c r="AS85" s="8">
        <v>52.32332287464515</v>
      </c>
      <c r="AT85" s="8">
        <v>42.35021664425519</v>
      </c>
      <c r="AU85" s="8">
        <v>5.259226057074556</v>
      </c>
      <c r="AV85" s="23">
        <f>AS85-AU85</f>
        <v>47.064096817570594</v>
      </c>
      <c r="AW85" s="8">
        <v>0.06723442402510085</v>
      </c>
      <c r="AX85" s="23">
        <f>29-37</f>
        <v>-8</v>
      </c>
      <c r="AY85" s="8">
        <v>33.326976256317344</v>
      </c>
      <c r="AZ85" s="23">
        <f>19-56</f>
        <v>-37</v>
      </c>
      <c r="BA85" s="8">
        <v>25.445790025746163</v>
      </c>
      <c r="BB85" s="20">
        <v>-1.758</v>
      </c>
      <c r="BC85" s="23">
        <f>33-21</f>
        <v>12</v>
      </c>
      <c r="BD85" s="8">
        <v>46.514732525984556</v>
      </c>
      <c r="BE85" s="23">
        <f>6-1</f>
        <v>5</v>
      </c>
      <c r="BF85" s="8">
        <v>93.26785544006866</v>
      </c>
      <c r="BG85" s="23">
        <f>24-18</f>
        <v>6</v>
      </c>
      <c r="BH85" s="8">
        <v>57.547439687231815</v>
      </c>
      <c r="BI85" s="8">
        <v>50.62935062458281</v>
      </c>
      <c r="BJ85" s="8">
        <v>43.773243062839704</v>
      </c>
      <c r="BK85" s="8">
        <v>5.373319347763898</v>
      </c>
      <c r="BL85" s="23">
        <f>BI85-BK85</f>
        <v>45.256031276818916</v>
      </c>
      <c r="BM85" s="8">
        <v>0.2240869648135787</v>
      </c>
      <c r="BN85" s="23">
        <f>17-42</f>
        <v>-25</v>
      </c>
      <c r="BO85" s="8">
        <v>40.83126208229771</v>
      </c>
      <c r="BP85" s="23">
        <f>24-37</f>
        <v>-13</v>
      </c>
      <c r="BQ85" s="8">
        <v>38.352665009665834</v>
      </c>
      <c r="BR85" s="20">
        <v>-1.919</v>
      </c>
      <c r="BS85" s="23">
        <f>37-16</f>
        <v>21</v>
      </c>
      <c r="BT85" s="8">
        <v>47.25214029273681</v>
      </c>
      <c r="BU85" s="23">
        <f>7-4</f>
        <v>3</v>
      </c>
      <c r="BV85" s="8">
        <v>88.68406517536592</v>
      </c>
      <c r="BW85" s="23">
        <f>30-21</f>
        <v>9</v>
      </c>
      <c r="BX85" s="8">
        <v>49.49599558133112</v>
      </c>
      <c r="BY85" s="8">
        <v>35.30792598729633</v>
      </c>
      <c r="BZ85" s="8">
        <v>56.44159072079537</v>
      </c>
      <c r="CA85" s="8">
        <v>5.046948356807512</v>
      </c>
      <c r="CB85" s="23">
        <f>BY85-CA85</f>
        <v>30.260977630488817</v>
      </c>
      <c r="CC85" s="8">
        <v>3.203534935100801</v>
      </c>
      <c r="CD85" s="23">
        <f>18-53</f>
        <v>-35</v>
      </c>
      <c r="CE85" s="8">
        <v>28.798642773830984</v>
      </c>
      <c r="CF85" s="23">
        <f>21-57</f>
        <v>-36</v>
      </c>
      <c r="CG85" s="8">
        <v>21.62018873926413</v>
      </c>
      <c r="CH85" s="20">
        <v>-2.091</v>
      </c>
      <c r="CI85" s="23">
        <f>34-26</f>
        <v>8</v>
      </c>
      <c r="CJ85" s="8">
        <v>39.826105397094686</v>
      </c>
      <c r="CK85" s="23">
        <f>24-5</f>
        <v>19</v>
      </c>
      <c r="CL85" s="8">
        <v>70.80903403668752</v>
      </c>
      <c r="CM85" s="23">
        <f>26-23</f>
        <v>3</v>
      </c>
      <c r="CN85" s="8">
        <v>51.83967765878486</v>
      </c>
      <c r="CO85" s="8">
        <v>63.73661329657513</v>
      </c>
      <c r="CP85" s="8">
        <v>33.31566111759092</v>
      </c>
      <c r="CQ85" s="8">
        <v>2.9477255858339517</v>
      </c>
      <c r="CR85" s="23">
        <f>CO85-CQ85</f>
        <v>60.78888771074118</v>
      </c>
      <c r="CS85" s="8">
        <v>0</v>
      </c>
      <c r="CT85" s="23">
        <f>23-18</f>
        <v>5</v>
      </c>
      <c r="CU85" s="8">
        <v>58.851494114095985</v>
      </c>
      <c r="CV85" s="23">
        <f>16-47</f>
        <v>-31</v>
      </c>
      <c r="CW85" s="8">
        <v>37.02082704497434</v>
      </c>
      <c r="CX85" s="20">
        <v>-0.959</v>
      </c>
      <c r="CY85" s="23">
        <f>39-21</f>
        <v>18</v>
      </c>
      <c r="CZ85" s="8">
        <v>40.21279806821612</v>
      </c>
      <c r="DA85" s="23">
        <f>7-0</f>
        <v>7</v>
      </c>
      <c r="DB85" s="8">
        <v>93.45759130697253</v>
      </c>
      <c r="DC85" s="23">
        <f>29-29</f>
        <v>0</v>
      </c>
      <c r="DD85" s="8">
        <v>42.076667672804106</v>
      </c>
      <c r="DE85" s="8">
        <v>44.627226079082405</v>
      </c>
      <c r="DF85" s="8">
        <v>53.52399637790523</v>
      </c>
      <c r="DG85" s="8">
        <v>1.8487775430123754</v>
      </c>
      <c r="DH85" s="23">
        <f>DE85-DG85</f>
        <v>42.77844853607003</v>
      </c>
      <c r="DI85" s="8">
        <v>0</v>
      </c>
      <c r="DJ85" s="23">
        <f>16-50</f>
        <v>-34</v>
      </c>
      <c r="DK85" s="8">
        <v>33.49517882787389</v>
      </c>
      <c r="DL85" s="23">
        <f>13-50</f>
        <v>-37</v>
      </c>
      <c r="DM85" s="8">
        <v>37.646173835738225</v>
      </c>
      <c r="DN85" s="20">
        <v>-2.775</v>
      </c>
      <c r="DO85" s="23">
        <f>24-20</f>
        <v>4</v>
      </c>
      <c r="DP85" s="8">
        <v>55.33064350680434</v>
      </c>
      <c r="DQ85" s="23">
        <f>20-4</f>
        <v>16</v>
      </c>
      <c r="DR85" s="8">
        <v>75.59324352048144</v>
      </c>
      <c r="DS85" s="23">
        <f>20-17</f>
        <v>3</v>
      </c>
      <c r="DT85" s="8">
        <v>62.62052930315257</v>
      </c>
      <c r="DU85" s="8">
        <v>34.493605963208644</v>
      </c>
      <c r="DV85" s="8">
        <v>51.029200574437525</v>
      </c>
      <c r="DW85" s="8">
        <v>13.588182999384532</v>
      </c>
      <c r="DX85" s="23">
        <f>DU85-DW85</f>
        <v>20.905422963824112</v>
      </c>
      <c r="DY85" s="8">
        <v>0.889010462969295</v>
      </c>
      <c r="DZ85" s="23">
        <f>28-25</f>
        <v>3</v>
      </c>
      <c r="EA85" s="8">
        <v>46.941428850029254</v>
      </c>
      <c r="EB85" s="23">
        <f>21-46</f>
        <v>-25</v>
      </c>
      <c r="EC85" s="8">
        <v>33.11447702008711</v>
      </c>
      <c r="ED85" s="20">
        <v>-2.255</v>
      </c>
      <c r="EE85" s="23">
        <f>26-35</f>
        <v>-9</v>
      </c>
      <c r="EF85" s="8">
        <v>39.22511863745694</v>
      </c>
      <c r="EG85" s="23">
        <f>19-4</f>
        <v>15</v>
      </c>
      <c r="EH85" s="8">
        <v>76.86407072742638</v>
      </c>
      <c r="EI85" s="23">
        <f>25-35</f>
        <v>-10</v>
      </c>
      <c r="EJ85" s="8">
        <v>39.84268348176558</v>
      </c>
      <c r="EK85" s="8">
        <v>51.99245920821687</v>
      </c>
      <c r="EL85" s="8">
        <v>40.967301566664496</v>
      </c>
      <c r="EM85" s="8">
        <v>4.517974387310668</v>
      </c>
      <c r="EN85" s="23">
        <f>EK85-EM85</f>
        <v>47.474484820906206</v>
      </c>
      <c r="EO85" s="8">
        <v>2.52226483780797</v>
      </c>
      <c r="EP85" s="23">
        <f>25-35</f>
        <v>-10</v>
      </c>
      <c r="EQ85" s="8">
        <v>40.59062901242535</v>
      </c>
      <c r="ER85" s="23">
        <f>25-46</f>
        <v>-21</v>
      </c>
      <c r="ES85" s="8">
        <v>28.9750609718816</v>
      </c>
      <c r="ET85" s="20">
        <v>-1.047</v>
      </c>
      <c r="EU85" s="23">
        <f>38-20</f>
        <v>18</v>
      </c>
      <c r="EV85" s="8">
        <v>41.629358895101184</v>
      </c>
      <c r="EW85" s="23">
        <f>12-3</f>
        <v>9</v>
      </c>
      <c r="EX85" s="8">
        <v>84.84568509296938</v>
      </c>
      <c r="EY85" s="23">
        <f>30-21</f>
        <v>9</v>
      </c>
      <c r="EZ85" s="8">
        <v>49.44734678904069</v>
      </c>
      <c r="FA85" s="8">
        <v>49.95278500533292</v>
      </c>
      <c r="FB85" s="8">
        <v>44.795141271340164</v>
      </c>
      <c r="FC85" s="8">
        <v>4.241197290742464</v>
      </c>
      <c r="FD85" s="23">
        <f>FA85-FC85</f>
        <v>45.71158771459046</v>
      </c>
      <c r="FE85" s="8">
        <v>1.0108764325844606</v>
      </c>
      <c r="FF85" s="125" t="s">
        <v>193</v>
      </c>
      <c r="FG85" s="125" t="s">
        <v>193</v>
      </c>
      <c r="FH85" s="125" t="s">
        <v>193</v>
      </c>
      <c r="FI85" s="125" t="s">
        <v>193</v>
      </c>
      <c r="FJ85" s="125" t="s">
        <v>193</v>
      </c>
      <c r="FK85" s="125" t="s">
        <v>193</v>
      </c>
      <c r="FL85" s="125" t="s">
        <v>193</v>
      </c>
      <c r="FM85" s="125" t="s">
        <v>193</v>
      </c>
      <c r="FN85" s="125" t="s">
        <v>193</v>
      </c>
      <c r="FO85" s="125" t="s">
        <v>193</v>
      </c>
      <c r="FP85" s="125" t="s">
        <v>193</v>
      </c>
      <c r="FQ85" s="125" t="s">
        <v>193</v>
      </c>
      <c r="FR85" s="125" t="s">
        <v>193</v>
      </c>
      <c r="FS85" s="125" t="s">
        <v>193</v>
      </c>
      <c r="FT85" s="125" t="s">
        <v>193</v>
      </c>
      <c r="FU85" s="125" t="s">
        <v>193</v>
      </c>
    </row>
    <row r="86" spans="1:177" ht="12">
      <c r="A86" s="1" t="s">
        <v>33</v>
      </c>
      <c r="B86" s="23"/>
      <c r="C86" s="8"/>
      <c r="D86" s="23"/>
      <c r="E86" s="8"/>
      <c r="F86" s="20"/>
      <c r="G86" s="23"/>
      <c r="H86" s="8"/>
      <c r="I86" s="23"/>
      <c r="J86" s="8"/>
      <c r="K86" s="23"/>
      <c r="L86" s="8"/>
      <c r="M86" s="8"/>
      <c r="N86" s="8"/>
      <c r="O86" s="8"/>
      <c r="P86" s="23">
        <f t="shared" si="153"/>
        <v>0</v>
      </c>
      <c r="Q86" s="8"/>
      <c r="R86" s="23"/>
      <c r="S86" s="8"/>
      <c r="T86" s="23"/>
      <c r="U86" s="8"/>
      <c r="V86" s="20"/>
      <c r="W86" s="23"/>
      <c r="X86" s="8"/>
      <c r="Y86" s="23"/>
      <c r="Z86" s="8"/>
      <c r="AA86" s="23"/>
      <c r="AB86" s="8"/>
      <c r="AC86" s="8"/>
      <c r="AD86" s="8"/>
      <c r="AE86" s="8"/>
      <c r="AF86" s="23">
        <f>AC86-AE86</f>
        <v>0</v>
      </c>
      <c r="AG86" s="8"/>
      <c r="AH86" s="23"/>
      <c r="AI86" s="8"/>
      <c r="AJ86" s="23"/>
      <c r="AK86" s="8"/>
      <c r="AL86" s="20"/>
      <c r="AM86" s="23"/>
      <c r="AN86" s="8"/>
      <c r="AO86" s="23"/>
      <c r="AP86" s="8"/>
      <c r="AQ86" s="23"/>
      <c r="AR86" s="8"/>
      <c r="AS86" s="8"/>
      <c r="AT86" s="8"/>
      <c r="AU86" s="8"/>
      <c r="AV86" s="23">
        <f>AS86-AU86</f>
        <v>0</v>
      </c>
      <c r="AW86" s="8"/>
      <c r="AX86" s="23"/>
      <c r="AY86" s="8"/>
      <c r="AZ86" s="23"/>
      <c r="BA86" s="8"/>
      <c r="BB86" s="20"/>
      <c r="BC86" s="23"/>
      <c r="BD86" s="8"/>
      <c r="BE86" s="23"/>
      <c r="BF86" s="8"/>
      <c r="BG86" s="23"/>
      <c r="BH86" s="8"/>
      <c r="BI86" s="8"/>
      <c r="BJ86" s="8"/>
      <c r="BK86" s="8"/>
      <c r="BL86" s="23">
        <f>BI86-BK86</f>
        <v>0</v>
      </c>
      <c r="BM86" s="8"/>
      <c r="BN86" s="23"/>
      <c r="BO86" s="8"/>
      <c r="BP86" s="23"/>
      <c r="BQ86" s="8"/>
      <c r="BR86" s="20"/>
      <c r="BS86" s="23"/>
      <c r="BT86" s="8"/>
      <c r="BU86" s="23"/>
      <c r="BV86" s="8"/>
      <c r="BW86" s="23"/>
      <c r="BX86" s="8"/>
      <c r="BY86" s="8"/>
      <c r="BZ86" s="8"/>
      <c r="CA86" s="8"/>
      <c r="CB86" s="23">
        <f>BY86-CA86</f>
        <v>0</v>
      </c>
      <c r="CC86" s="8"/>
      <c r="CD86" s="23"/>
      <c r="CE86" s="8"/>
      <c r="CF86" s="23"/>
      <c r="CG86" s="8"/>
      <c r="CH86" s="20"/>
      <c r="CI86" s="23"/>
      <c r="CJ86" s="8"/>
      <c r="CK86" s="23"/>
      <c r="CL86" s="8"/>
      <c r="CM86" s="23"/>
      <c r="CN86" s="8"/>
      <c r="CO86" s="8"/>
      <c r="CP86" s="8"/>
      <c r="CQ86" s="8"/>
      <c r="CR86" s="23">
        <f>CO86-CQ86</f>
        <v>0</v>
      </c>
      <c r="CS86" s="8"/>
      <c r="CT86" s="23"/>
      <c r="CU86" s="8"/>
      <c r="CV86" s="23"/>
      <c r="CW86" s="8"/>
      <c r="CX86" s="20"/>
      <c r="CY86" s="23"/>
      <c r="CZ86" s="8"/>
      <c r="DA86" s="23"/>
      <c r="DB86" s="8"/>
      <c r="DC86" s="23"/>
      <c r="DD86" s="8"/>
      <c r="DE86" s="8"/>
      <c r="DF86" s="8"/>
      <c r="DG86" s="8"/>
      <c r="DH86" s="23">
        <f>DE86-DG86</f>
        <v>0</v>
      </c>
      <c r="DI86" s="8"/>
      <c r="DJ86" s="23"/>
      <c r="DK86" s="8"/>
      <c r="DL86" s="23"/>
      <c r="DM86" s="8"/>
      <c r="DN86" s="20"/>
      <c r="DO86" s="23"/>
      <c r="DP86" s="8"/>
      <c r="DQ86" s="23"/>
      <c r="DR86" s="8"/>
      <c r="DS86" s="23"/>
      <c r="DT86" s="8"/>
      <c r="DU86" s="8"/>
      <c r="DV86" s="8"/>
      <c r="DW86" s="8"/>
      <c r="DX86" s="23">
        <f>DU86-DW86</f>
        <v>0</v>
      </c>
      <c r="DY86" s="8"/>
      <c r="DZ86" s="23"/>
      <c r="EA86" s="8"/>
      <c r="EB86" s="23"/>
      <c r="EC86" s="8"/>
      <c r="ED86" s="20"/>
      <c r="EE86" s="23"/>
      <c r="EF86" s="8"/>
      <c r="EG86" s="23"/>
      <c r="EH86" s="8"/>
      <c r="EI86" s="23"/>
      <c r="EJ86" s="8"/>
      <c r="EK86" s="8"/>
      <c r="EL86" s="8"/>
      <c r="EM86" s="8"/>
      <c r="EN86" s="23">
        <f>EK86-EM86</f>
        <v>0</v>
      </c>
      <c r="EO86" s="8"/>
      <c r="EP86" s="23"/>
      <c r="EQ86" s="8"/>
      <c r="ER86" s="23"/>
      <c r="ES86" s="8"/>
      <c r="ET86" s="20"/>
      <c r="EU86" s="23"/>
      <c r="EV86" s="8"/>
      <c r="EW86" s="23"/>
      <c r="EX86" s="8"/>
      <c r="EY86" s="23"/>
      <c r="EZ86" s="8"/>
      <c r="FA86" s="8"/>
      <c r="FB86" s="8"/>
      <c r="FC86" s="8"/>
      <c r="FD86" s="23">
        <f>FA86-FC86</f>
        <v>0</v>
      </c>
      <c r="FE86" s="8"/>
      <c r="FF86" s="23"/>
      <c r="FG86" s="8"/>
      <c r="FH86" s="23"/>
      <c r="FI86" s="8"/>
      <c r="FJ86" s="20"/>
      <c r="FK86" s="23"/>
      <c r="FL86" s="8"/>
      <c r="FM86" s="23"/>
      <c r="FN86" s="8"/>
      <c r="FO86" s="23"/>
      <c r="FP86" s="8"/>
      <c r="FQ86" s="8"/>
      <c r="FR86" s="8"/>
      <c r="FS86" s="8"/>
      <c r="FT86" s="23">
        <f>FQ86-FS86</f>
        <v>0</v>
      </c>
      <c r="FU86" s="8"/>
    </row>
    <row r="87" spans="1:177" ht="12">
      <c r="A87" s="122" t="s">
        <v>9</v>
      </c>
      <c r="B87" s="24">
        <f aca="true" t="shared" si="164" ref="B87:O87">AVERAGE(B83:B86)</f>
        <v>-10.666666666666666</v>
      </c>
      <c r="C87" s="13">
        <f t="shared" si="164"/>
        <v>35.30637075972161</v>
      </c>
      <c r="D87" s="24">
        <f t="shared" si="164"/>
        <v>18.666666666666668</v>
      </c>
      <c r="E87" s="13">
        <f t="shared" si="164"/>
        <v>24.87759770282766</v>
      </c>
      <c r="F87" s="21">
        <f t="shared" si="164"/>
        <v>1.596</v>
      </c>
      <c r="G87" s="24">
        <f t="shared" si="164"/>
        <v>27.666666666666668</v>
      </c>
      <c r="H87" s="13">
        <f t="shared" si="164"/>
        <v>40.09831118898136</v>
      </c>
      <c r="I87" s="24">
        <f t="shared" si="164"/>
        <v>8</v>
      </c>
      <c r="J87" s="13">
        <f t="shared" si="164"/>
        <v>86.72604273129896</v>
      </c>
      <c r="K87" s="24">
        <f t="shared" si="164"/>
        <v>10.666666666666666</v>
      </c>
      <c r="L87" s="13">
        <f t="shared" si="164"/>
        <v>51.33401469800943</v>
      </c>
      <c r="M87" s="13">
        <f t="shared" si="164"/>
        <v>60.55677227819146</v>
      </c>
      <c r="N87" s="13">
        <f t="shared" si="164"/>
        <v>34.27361658636297</v>
      </c>
      <c r="O87" s="13">
        <f t="shared" si="164"/>
        <v>3.72317126587823</v>
      </c>
      <c r="P87" s="24">
        <f t="shared" si="153"/>
        <v>56.83360101231323</v>
      </c>
      <c r="Q87" s="13">
        <f aca="true" t="shared" si="165" ref="Q87:AE87">AVERAGE(Q83:Q86)</f>
        <v>1.4464398695673335</v>
      </c>
      <c r="R87" s="24">
        <f t="shared" si="165"/>
        <v>-19</v>
      </c>
      <c r="S87" s="13">
        <f t="shared" si="165"/>
        <v>31.517963984473045</v>
      </c>
      <c r="T87" s="24">
        <f t="shared" si="165"/>
        <v>0</v>
      </c>
      <c r="U87" s="13">
        <f t="shared" si="165"/>
        <v>24.796427633307065</v>
      </c>
      <c r="V87" s="21">
        <f t="shared" si="165"/>
        <v>-1.8976666666666666</v>
      </c>
      <c r="W87" s="24">
        <f t="shared" si="165"/>
        <v>11</v>
      </c>
      <c r="X87" s="13">
        <f t="shared" si="165"/>
        <v>43.090440978251905</v>
      </c>
      <c r="Y87" s="24">
        <f t="shared" si="165"/>
        <v>11</v>
      </c>
      <c r="Z87" s="13">
        <f t="shared" si="165"/>
        <v>84.94877856579984</v>
      </c>
      <c r="AA87" s="24">
        <f t="shared" si="165"/>
        <v>-7</v>
      </c>
      <c r="AB87" s="13">
        <f t="shared" si="165"/>
        <v>54.94264950529726</v>
      </c>
      <c r="AC87" s="13">
        <f t="shared" si="165"/>
        <v>46.461197209818174</v>
      </c>
      <c r="AD87" s="13">
        <f t="shared" si="165"/>
        <v>45.08361789685667</v>
      </c>
      <c r="AE87" s="13">
        <f t="shared" si="165"/>
        <v>5.548259054957242</v>
      </c>
      <c r="AF87" s="24">
        <f>AC87-AE87</f>
        <v>40.91293815486093</v>
      </c>
      <c r="AG87" s="13">
        <f aca="true" t="shared" si="166" ref="AG87:AU87">AVERAGE(AG83:AG86)</f>
        <v>2.906925838367919</v>
      </c>
      <c r="AH87" s="24">
        <f t="shared" si="166"/>
        <v>-11.666666666666666</v>
      </c>
      <c r="AI87" s="13">
        <f t="shared" si="166"/>
        <v>31.368594053488717</v>
      </c>
      <c r="AJ87" s="24">
        <f t="shared" si="166"/>
        <v>8</v>
      </c>
      <c r="AK87" s="13">
        <f t="shared" si="166"/>
        <v>26.512774540564767</v>
      </c>
      <c r="AL87" s="21">
        <f t="shared" si="166"/>
        <v>1.6903333333333335</v>
      </c>
      <c r="AM87" s="24">
        <f t="shared" si="166"/>
        <v>16</v>
      </c>
      <c r="AN87" s="13">
        <f t="shared" si="166"/>
        <v>48.19712137058618</v>
      </c>
      <c r="AO87" s="24">
        <f t="shared" si="166"/>
        <v>10</v>
      </c>
      <c r="AP87" s="13">
        <f t="shared" si="166"/>
        <v>85.90567259325663</v>
      </c>
      <c r="AQ87" s="24">
        <f t="shared" si="166"/>
        <v>7.333333333333333</v>
      </c>
      <c r="AR87" s="13">
        <f t="shared" si="166"/>
        <v>57.943622690373026</v>
      </c>
      <c r="AS87" s="13">
        <f t="shared" si="166"/>
        <v>49.36998854524628</v>
      </c>
      <c r="AT87" s="13">
        <f t="shared" si="166"/>
        <v>45.90119029832163</v>
      </c>
      <c r="AU87" s="13">
        <f t="shared" si="166"/>
        <v>4.280591662931421</v>
      </c>
      <c r="AV87" s="24">
        <f>AS87-AU87</f>
        <v>45.08939688231486</v>
      </c>
      <c r="AW87" s="13">
        <f aca="true" t="shared" si="167" ref="AW87:BK87">AVERAGE(AW83:AW86)</f>
        <v>0.4482294935006723</v>
      </c>
      <c r="AX87" s="24">
        <f t="shared" si="167"/>
        <v>-28</v>
      </c>
      <c r="AY87" s="13">
        <f t="shared" si="167"/>
        <v>35.111725628555995</v>
      </c>
      <c r="AZ87" s="24">
        <f t="shared" si="167"/>
        <v>-14.333333333333334</v>
      </c>
      <c r="BA87" s="13">
        <f t="shared" si="167"/>
        <v>27.020755856457203</v>
      </c>
      <c r="BB87" s="21">
        <f t="shared" si="167"/>
        <v>-1.1916666666666667</v>
      </c>
      <c r="BC87" s="24">
        <f t="shared" si="167"/>
        <v>7</v>
      </c>
      <c r="BD87" s="13">
        <f t="shared" si="167"/>
        <v>46.68955214392423</v>
      </c>
      <c r="BE87" s="24">
        <f t="shared" si="167"/>
        <v>3</v>
      </c>
      <c r="BF87" s="13">
        <f t="shared" si="167"/>
        <v>91.39887479736818</v>
      </c>
      <c r="BG87" s="24">
        <f t="shared" si="167"/>
        <v>-8</v>
      </c>
      <c r="BH87" s="13">
        <f t="shared" si="167"/>
        <v>65.32691268554719</v>
      </c>
      <c r="BI87" s="13">
        <f t="shared" si="167"/>
        <v>53.33746543339373</v>
      </c>
      <c r="BJ87" s="13">
        <f t="shared" si="167"/>
        <v>42.832395664473474</v>
      </c>
      <c r="BK87" s="13">
        <f t="shared" si="167"/>
        <v>3.3851435110136356</v>
      </c>
      <c r="BL87" s="24">
        <f>BI87-BK87</f>
        <v>49.952321922380094</v>
      </c>
      <c r="BM87" s="13">
        <f aca="true" t="shared" si="168" ref="BM87:CA87">AVERAGE(BM83:BM86)</f>
        <v>0.4449953911191635</v>
      </c>
      <c r="BN87" s="24">
        <f t="shared" si="168"/>
        <v>-21.666666666666668</v>
      </c>
      <c r="BO87" s="13">
        <f t="shared" si="168"/>
        <v>42.76673110558778</v>
      </c>
      <c r="BP87" s="24">
        <f t="shared" si="168"/>
        <v>-9</v>
      </c>
      <c r="BQ87" s="13">
        <f t="shared" si="168"/>
        <v>38.05348430451992</v>
      </c>
      <c r="BR87" s="21">
        <f t="shared" si="168"/>
        <v>-0.6896666666666667</v>
      </c>
      <c r="BS87" s="24">
        <f t="shared" si="168"/>
        <v>3.3333333333333335</v>
      </c>
      <c r="BT87" s="13">
        <f t="shared" si="168"/>
        <v>59.27920463960232</v>
      </c>
      <c r="BU87" s="24">
        <f t="shared" si="168"/>
        <v>3.6666666666666665</v>
      </c>
      <c r="BV87" s="13">
        <f t="shared" si="168"/>
        <v>87.26180613090305</v>
      </c>
      <c r="BW87" s="24">
        <f t="shared" si="168"/>
        <v>-5</v>
      </c>
      <c r="BX87" s="13">
        <f t="shared" si="168"/>
        <v>60.33093988769216</v>
      </c>
      <c r="BY87" s="13">
        <f t="shared" si="168"/>
        <v>36.615115529779985</v>
      </c>
      <c r="BZ87" s="13">
        <f t="shared" si="168"/>
        <v>55.27478597072633</v>
      </c>
      <c r="CA87" s="13">
        <f t="shared" si="168"/>
        <v>6.1401086256098685</v>
      </c>
      <c r="CB87" s="24">
        <f>BY87-CA87</f>
        <v>30.475006904170115</v>
      </c>
      <c r="CC87" s="13">
        <f aca="true" t="shared" si="169" ref="CC87:CQ87">AVERAGE(CC83:CC86)</f>
        <v>1.9699898738838257</v>
      </c>
      <c r="CD87" s="24">
        <f t="shared" si="169"/>
        <v>-30.666666666666668</v>
      </c>
      <c r="CE87" s="13">
        <f t="shared" si="169"/>
        <v>29.180362633867038</v>
      </c>
      <c r="CF87" s="24">
        <f t="shared" si="169"/>
        <v>-15.666666666666666</v>
      </c>
      <c r="CG87" s="13">
        <f t="shared" si="169"/>
        <v>26.586081362881277</v>
      </c>
      <c r="CH87" s="21">
        <f t="shared" si="169"/>
        <v>-0.7733333333333334</v>
      </c>
      <c r="CI87" s="24">
        <f t="shared" si="169"/>
        <v>5.666666666666667</v>
      </c>
      <c r="CJ87" s="13">
        <f t="shared" si="169"/>
        <v>53.95680910472555</v>
      </c>
      <c r="CK87" s="24">
        <f t="shared" si="169"/>
        <v>22.333333333333332</v>
      </c>
      <c r="CL87" s="13">
        <f t="shared" si="169"/>
        <v>71.16954723783267</v>
      </c>
      <c r="CM87" s="24">
        <f t="shared" si="169"/>
        <v>-4</v>
      </c>
      <c r="CN87" s="13">
        <f t="shared" si="169"/>
        <v>55.5331707489485</v>
      </c>
      <c r="CO87" s="13">
        <f t="shared" si="169"/>
        <v>61.71491181564344</v>
      </c>
      <c r="CP87" s="13">
        <f t="shared" si="169"/>
        <v>34.220478563602306</v>
      </c>
      <c r="CQ87" s="13">
        <f t="shared" si="169"/>
        <v>4.039868518714877</v>
      </c>
      <c r="CR87" s="24">
        <f>CO87-CQ87</f>
        <v>57.675043296928564</v>
      </c>
      <c r="CS87" s="13">
        <f aca="true" t="shared" si="170" ref="CS87:DG87">AVERAGE(CS83:CS86)</f>
        <v>0.0247411020393737</v>
      </c>
      <c r="CT87" s="24">
        <f t="shared" si="170"/>
        <v>-11</v>
      </c>
      <c r="CU87" s="13">
        <f t="shared" si="170"/>
        <v>42.197404165409</v>
      </c>
      <c r="CV87" s="24">
        <f t="shared" si="170"/>
        <v>3.6666666666666665</v>
      </c>
      <c r="CW87" s="13">
        <f t="shared" si="170"/>
        <v>33.889224268035015</v>
      </c>
      <c r="CX87" s="21">
        <f t="shared" si="170"/>
        <v>0.44399999999999995</v>
      </c>
      <c r="CY87" s="24">
        <f t="shared" si="170"/>
        <v>20.666666666666668</v>
      </c>
      <c r="CZ87" s="13">
        <f t="shared" si="170"/>
        <v>50.9860146896066</v>
      </c>
      <c r="DA87" s="24">
        <f t="shared" si="170"/>
        <v>5</v>
      </c>
      <c r="DB87" s="13">
        <f t="shared" si="170"/>
        <v>92.45648455579033</v>
      </c>
      <c r="DC87" s="24">
        <f t="shared" si="170"/>
        <v>-1.3333333333333333</v>
      </c>
      <c r="DD87" s="13">
        <f t="shared" si="170"/>
        <v>58.13462118925444</v>
      </c>
      <c r="DE87" s="13">
        <f t="shared" si="170"/>
        <v>50.42509306771306</v>
      </c>
      <c r="DF87" s="13">
        <f t="shared" si="170"/>
        <v>47.36140456786398</v>
      </c>
      <c r="DG87" s="13">
        <f t="shared" si="170"/>
        <v>1.8035013582855417</v>
      </c>
      <c r="DH87" s="24">
        <f>DE87-DG87</f>
        <v>48.62159170942751</v>
      </c>
      <c r="DI87" s="13">
        <f aca="true" t="shared" si="171" ref="DI87:DW87">AVERAGE(DI83:DI86)</f>
        <v>0.4100010061374384</v>
      </c>
      <c r="DJ87" s="24">
        <f t="shared" si="171"/>
        <v>-28</v>
      </c>
      <c r="DK87" s="13">
        <f t="shared" si="171"/>
        <v>38.40069297225832</v>
      </c>
      <c r="DL87" s="24">
        <f t="shared" si="171"/>
        <v>-23</v>
      </c>
      <c r="DM87" s="13">
        <f t="shared" si="171"/>
        <v>37.190271034215506</v>
      </c>
      <c r="DN87" s="21">
        <f t="shared" si="171"/>
        <v>-2.1536666666666666</v>
      </c>
      <c r="DO87" s="24">
        <f t="shared" si="171"/>
        <v>1.6666666666666667</v>
      </c>
      <c r="DP87" s="13">
        <f t="shared" si="171"/>
        <v>64.5398800975632</v>
      </c>
      <c r="DQ87" s="24">
        <f t="shared" si="171"/>
        <v>12.333333333333334</v>
      </c>
      <c r="DR87" s="13">
        <f t="shared" si="171"/>
        <v>79.59834963185848</v>
      </c>
      <c r="DS87" s="24">
        <f t="shared" si="171"/>
        <v>-8.333333333333334</v>
      </c>
      <c r="DT87" s="13">
        <f t="shared" si="171"/>
        <v>66.99947571177825</v>
      </c>
      <c r="DU87" s="13">
        <f t="shared" si="171"/>
        <v>41.4210490323463</v>
      </c>
      <c r="DV87" s="13">
        <f t="shared" si="171"/>
        <v>48.90925254735689</v>
      </c>
      <c r="DW87" s="13">
        <f t="shared" si="171"/>
        <v>9.136292142515215</v>
      </c>
      <c r="DX87" s="24">
        <f>DU87-DW87</f>
        <v>32.28475688983109</v>
      </c>
      <c r="DY87" s="13">
        <f aca="true" t="shared" si="172" ref="DY87:EM87">AVERAGE(DY83:DY86)</f>
        <v>0.533406277781577</v>
      </c>
      <c r="DZ87" s="24">
        <f t="shared" si="172"/>
        <v>-14</v>
      </c>
      <c r="EA87" s="13">
        <f t="shared" si="172"/>
        <v>45.574118615787995</v>
      </c>
      <c r="EB87" s="24">
        <f t="shared" si="172"/>
        <v>-6</v>
      </c>
      <c r="EC87" s="13">
        <f t="shared" si="172"/>
        <v>30.86524085028928</v>
      </c>
      <c r="ED87" s="21">
        <f t="shared" si="172"/>
        <v>-1.9426666666666668</v>
      </c>
      <c r="EE87" s="24">
        <f t="shared" si="172"/>
        <v>3</v>
      </c>
      <c r="EF87" s="13">
        <f t="shared" si="172"/>
        <v>46.2740254393378</v>
      </c>
      <c r="EG87" s="24">
        <f t="shared" si="172"/>
        <v>15</v>
      </c>
      <c r="EH87" s="13">
        <f t="shared" si="172"/>
        <v>81.93243623913844</v>
      </c>
      <c r="EI87" s="24">
        <f t="shared" si="172"/>
        <v>-12</v>
      </c>
      <c r="EJ87" s="13">
        <f t="shared" si="172"/>
        <v>53.060738044161305</v>
      </c>
      <c r="EK87" s="13">
        <f t="shared" si="172"/>
        <v>51.37272746971766</v>
      </c>
      <c r="EL87" s="13">
        <f t="shared" si="172"/>
        <v>40.6921060044638</v>
      </c>
      <c r="EM87" s="13">
        <f t="shared" si="172"/>
        <v>5.761771652690199</v>
      </c>
      <c r="EN87" s="24">
        <f>EK87-EM87</f>
        <v>45.61095581702746</v>
      </c>
      <c r="EO87" s="13">
        <f aca="true" t="shared" si="173" ref="EO87:FC87">AVERAGE(EO83:EO86)</f>
        <v>2.1733948731283452</v>
      </c>
      <c r="EP87" s="24">
        <f t="shared" si="173"/>
        <v>-18.666666666666668</v>
      </c>
      <c r="EQ87" s="13">
        <f t="shared" si="173"/>
        <v>36.969001148105626</v>
      </c>
      <c r="ER87" s="24">
        <f t="shared" si="173"/>
        <v>-1.6666666666666667</v>
      </c>
      <c r="ES87" s="13">
        <f t="shared" si="173"/>
        <v>29.391504018369687</v>
      </c>
      <c r="ET87" s="21">
        <f t="shared" si="173"/>
        <v>-0.286</v>
      </c>
      <c r="EU87" s="24">
        <f t="shared" si="173"/>
        <v>13</v>
      </c>
      <c r="EV87" s="13">
        <f t="shared" si="173"/>
        <v>48.76255952825766</v>
      </c>
      <c r="EW87" s="24">
        <f t="shared" si="173"/>
        <v>8.666666666666666</v>
      </c>
      <c r="EX87" s="13">
        <f t="shared" si="173"/>
        <v>85.54224779606746</v>
      </c>
      <c r="EY87" s="24">
        <f t="shared" si="173"/>
        <v>-1.6666666666666667</v>
      </c>
      <c r="EZ87" s="13">
        <f t="shared" si="173"/>
        <v>57.7121221385109</v>
      </c>
      <c r="FA87" s="13">
        <f t="shared" si="173"/>
        <v>51.362667771746636</v>
      </c>
      <c r="FB87" s="13">
        <f t="shared" si="173"/>
        <v>42.75527234107116</v>
      </c>
      <c r="FC87" s="13">
        <f t="shared" si="173"/>
        <v>4.703383401608254</v>
      </c>
      <c r="FD87" s="24">
        <f>FA87-FC87</f>
        <v>46.65928437013838</v>
      </c>
      <c r="FE87" s="13">
        <f aca="true" t="shared" si="174" ref="FE87:FS87">AVERAGE(FE83:FE86)</f>
        <v>1.1786764855739509</v>
      </c>
      <c r="FF87" s="24" t="e">
        <f t="shared" si="174"/>
        <v>#DIV/0!</v>
      </c>
      <c r="FG87" s="13" t="e">
        <f t="shared" si="174"/>
        <v>#DIV/0!</v>
      </c>
      <c r="FH87" s="24" t="e">
        <f t="shared" si="174"/>
        <v>#DIV/0!</v>
      </c>
      <c r="FI87" s="13" t="e">
        <f t="shared" si="174"/>
        <v>#DIV/0!</v>
      </c>
      <c r="FJ87" s="21" t="e">
        <f t="shared" si="174"/>
        <v>#DIV/0!</v>
      </c>
      <c r="FK87" s="24" t="e">
        <f t="shared" si="174"/>
        <v>#DIV/0!</v>
      </c>
      <c r="FL87" s="13" t="e">
        <f t="shared" si="174"/>
        <v>#DIV/0!</v>
      </c>
      <c r="FM87" s="24" t="e">
        <f t="shared" si="174"/>
        <v>#DIV/0!</v>
      </c>
      <c r="FN87" s="13" t="e">
        <f t="shared" si="174"/>
        <v>#DIV/0!</v>
      </c>
      <c r="FO87" s="24" t="e">
        <f t="shared" si="174"/>
        <v>#DIV/0!</v>
      </c>
      <c r="FP87" s="13" t="e">
        <f t="shared" si="174"/>
        <v>#DIV/0!</v>
      </c>
      <c r="FQ87" s="13" t="e">
        <f t="shared" si="174"/>
        <v>#DIV/0!</v>
      </c>
      <c r="FR87" s="13" t="e">
        <f t="shared" si="174"/>
        <v>#DIV/0!</v>
      </c>
      <c r="FS87" s="13" t="e">
        <f t="shared" si="174"/>
        <v>#DIV/0!</v>
      </c>
      <c r="FT87" s="24" t="e">
        <f>FQ87-FS87</f>
        <v>#DIV/0!</v>
      </c>
      <c r="FU87" s="13" t="e">
        <f>AVERAGE(FU83:FU86)</f>
        <v>#DIV/0!</v>
      </c>
    </row>
    <row r="88" spans="1:177" ht="12.75" thickBot="1">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row>
    <row r="89" spans="1:177" ht="12">
      <c r="A89" s="118" t="s">
        <v>285</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19"/>
      <c r="EG89" s="119"/>
      <c r="EH89" s="119"/>
      <c r="EI89" s="119"/>
      <c r="EJ89" s="119"/>
      <c r="EK89" s="119"/>
      <c r="EL89" s="119"/>
      <c r="EM89" s="119"/>
      <c r="EN89" s="119"/>
      <c r="EO89" s="119"/>
      <c r="EP89" s="119"/>
      <c r="EQ89" s="119"/>
      <c r="ER89" s="119"/>
      <c r="ES89" s="119"/>
      <c r="ET89" s="119"/>
      <c r="EU89" s="119"/>
      <c r="EV89" s="119"/>
      <c r="EW89" s="119"/>
      <c r="EX89" s="119"/>
      <c r="EY89" s="119"/>
      <c r="EZ89" s="119"/>
      <c r="FA89" s="119"/>
      <c r="FB89" s="119"/>
      <c r="FC89" s="119"/>
      <c r="FD89" s="119"/>
      <c r="FE89" s="119"/>
      <c r="FF89" s="119"/>
      <c r="FG89" s="119"/>
      <c r="FH89" s="119"/>
      <c r="FI89" s="119"/>
      <c r="FJ89" s="119"/>
      <c r="FK89" s="119"/>
      <c r="FL89" s="119"/>
      <c r="FM89" s="119"/>
      <c r="FN89" s="119"/>
      <c r="FO89" s="119"/>
      <c r="FP89" s="119"/>
      <c r="FQ89" s="119"/>
      <c r="FR89" s="119"/>
      <c r="FS89" s="119"/>
      <c r="FT89" s="119"/>
      <c r="FU89" s="119"/>
    </row>
    <row r="90" spans="1:177" ht="12">
      <c r="A90" s="118" t="s">
        <v>275</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c r="FC90" s="119"/>
      <c r="FD90" s="119"/>
      <c r="FE90" s="119"/>
      <c r="FF90" s="119"/>
      <c r="FG90" s="119"/>
      <c r="FH90" s="119"/>
      <c r="FI90" s="119"/>
      <c r="FJ90" s="119"/>
      <c r="FK90" s="119"/>
      <c r="FL90" s="119"/>
      <c r="FM90" s="119"/>
      <c r="FN90" s="119"/>
      <c r="FO90" s="119"/>
      <c r="FP90" s="119"/>
      <c r="FQ90" s="119"/>
      <c r="FR90" s="119"/>
      <c r="FS90" s="119"/>
      <c r="FT90" s="119"/>
      <c r="FU90" s="119"/>
    </row>
    <row r="91" spans="1:177" ht="12">
      <c r="A91" s="118" t="s">
        <v>288</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c r="FC91" s="119"/>
      <c r="FD91" s="119"/>
      <c r="FE91" s="119"/>
      <c r="FF91" s="119"/>
      <c r="FG91" s="119"/>
      <c r="FH91" s="119"/>
      <c r="FI91" s="119"/>
      <c r="FJ91" s="119"/>
      <c r="FK91" s="119"/>
      <c r="FL91" s="119"/>
      <c r="FM91" s="119"/>
      <c r="FN91" s="119"/>
      <c r="FO91" s="119"/>
      <c r="FP91" s="119"/>
      <c r="FQ91" s="119"/>
      <c r="FR91" s="119"/>
      <c r="FS91" s="119"/>
      <c r="FT91" s="119"/>
      <c r="FU91" s="119"/>
    </row>
    <row r="92" spans="1:177" ht="12">
      <c r="A92" s="118" t="s">
        <v>286</v>
      </c>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row>
    <row r="93" spans="1:177" ht="12">
      <c r="A93" s="118" t="s">
        <v>287</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c r="EE93" s="119"/>
      <c r="EF93" s="119"/>
      <c r="EG93" s="119"/>
      <c r="EH93" s="119"/>
      <c r="EI93" s="119"/>
      <c r="EJ93" s="119"/>
      <c r="EK93" s="119"/>
      <c r="EL93" s="119"/>
      <c r="EM93" s="119"/>
      <c r="EN93" s="119"/>
      <c r="EO93" s="119"/>
      <c r="EP93" s="119"/>
      <c r="EQ93" s="119"/>
      <c r="ER93" s="119"/>
      <c r="ES93" s="119"/>
      <c r="ET93" s="119"/>
      <c r="EU93" s="119"/>
      <c r="EV93" s="119"/>
      <c r="EW93" s="119"/>
      <c r="EX93" s="119"/>
      <c r="EY93" s="119"/>
      <c r="EZ93" s="119"/>
      <c r="FA93" s="119"/>
      <c r="FB93" s="119"/>
      <c r="FC93" s="119"/>
      <c r="FD93" s="119"/>
      <c r="FE93" s="119"/>
      <c r="FF93" s="119"/>
      <c r="FG93" s="119"/>
      <c r="FH93" s="119"/>
      <c r="FI93" s="119"/>
      <c r="FJ93" s="119"/>
      <c r="FK93" s="119"/>
      <c r="FL93" s="119"/>
      <c r="FM93" s="119"/>
      <c r="FN93" s="119"/>
      <c r="FO93" s="119"/>
      <c r="FP93" s="119"/>
      <c r="FQ93" s="119"/>
      <c r="FR93" s="119"/>
      <c r="FS93" s="119"/>
      <c r="FT93" s="119"/>
      <c r="FU93" s="119"/>
    </row>
    <row r="94" ht="12">
      <c r="A94" s="1" t="s">
        <v>236</v>
      </c>
    </row>
    <row r="95" ht="12">
      <c r="A95" s="1" t="s">
        <v>50</v>
      </c>
    </row>
    <row r="96" ht="12">
      <c r="A96" s="1" t="s">
        <v>51</v>
      </c>
    </row>
    <row r="97" ht="12">
      <c r="A97" s="1" t="s">
        <v>52</v>
      </c>
    </row>
    <row r="98" ht="12">
      <c r="A98" s="106" t="s">
        <v>237</v>
      </c>
    </row>
    <row r="100" ht="12">
      <c r="A100" s="1" t="s">
        <v>55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95"/>
  <sheetViews>
    <sheetView zoomScalePageLayoutView="0" workbookViewId="0" topLeftCell="A1">
      <pane xSplit="1" ySplit="18" topLeftCell="B73" activePane="bottomRight" state="frozen"/>
      <selection pane="topLeft" activeCell="A1" sqref="A1"/>
      <selection pane="topRight" activeCell="B1" sqref="B1"/>
      <selection pane="bottomLeft" activeCell="A19" sqref="A19"/>
      <selection pane="bottomRight" activeCell="B86" sqref="B86"/>
    </sheetView>
  </sheetViews>
  <sheetFormatPr defaultColWidth="9.625" defaultRowHeight="12.75"/>
  <cols>
    <col min="1" max="1" width="14.625" style="2" customWidth="1"/>
    <col min="2" max="2" width="10.625" style="2" customWidth="1"/>
    <col min="3" max="5" width="11.625" style="2" customWidth="1"/>
    <col min="6" max="6" width="10.625" style="2" customWidth="1"/>
    <col min="7" max="7" width="9.625" style="2" customWidth="1"/>
    <col min="8" max="8" width="12.625" style="2" customWidth="1"/>
    <col min="9" max="9" width="11.625" style="2" customWidth="1"/>
    <col min="10" max="10" width="10.625" style="2" customWidth="1"/>
    <col min="11" max="13" width="11.625" style="2" customWidth="1"/>
    <col min="14" max="14" width="10.625" style="2" customWidth="1"/>
    <col min="15" max="16" width="12.625" style="2" customWidth="1"/>
    <col min="17" max="17" width="11.625" style="2" customWidth="1"/>
    <col min="18" max="18" width="13.625" style="2" customWidth="1"/>
    <col min="19" max="19" width="11.625" style="2" customWidth="1"/>
    <col min="20" max="20" width="10.625" style="2" customWidth="1"/>
    <col min="21" max="21" width="13.625" style="2" customWidth="1"/>
    <col min="22" max="16384" width="9.625" style="2" customWidth="1"/>
  </cols>
  <sheetData>
    <row r="1" ht="12">
      <c r="A1" s="1" t="s">
        <v>294</v>
      </c>
    </row>
    <row r="2" ht="12">
      <c r="A2" s="1" t="s">
        <v>238</v>
      </c>
    </row>
    <row r="3" ht="12">
      <c r="A3" s="1" t="s">
        <v>0</v>
      </c>
    </row>
    <row r="4" ht="12">
      <c r="A4" s="3" t="s">
        <v>303</v>
      </c>
    </row>
    <row r="5" ht="12.75" thickBot="1">
      <c r="A5" s="1"/>
    </row>
    <row r="6" spans="1:21" ht="12.75" thickTop="1">
      <c r="A6" s="115"/>
      <c r="B6" s="115"/>
      <c r="C6" s="115"/>
      <c r="D6" s="115"/>
      <c r="E6" s="115"/>
      <c r="F6" s="115"/>
      <c r="G6" s="115"/>
      <c r="H6" s="115"/>
      <c r="I6" s="115"/>
      <c r="J6" s="115"/>
      <c r="K6" s="115"/>
      <c r="L6" s="115"/>
      <c r="M6" s="115"/>
      <c r="N6" s="115"/>
      <c r="O6" s="115"/>
      <c r="P6" s="115"/>
      <c r="Q6" s="115"/>
      <c r="R6" s="115"/>
      <c r="S6" s="115"/>
      <c r="T6" s="115"/>
      <c r="U6" s="115"/>
    </row>
    <row r="7" spans="2:12" ht="12">
      <c r="B7" s="19" t="s">
        <v>2</v>
      </c>
      <c r="L7" s="19" t="s">
        <v>3</v>
      </c>
    </row>
    <row r="8" spans="2:21" ht="12">
      <c r="B8" s="5" t="s">
        <v>1</v>
      </c>
      <c r="C8" s="5" t="s">
        <v>1</v>
      </c>
      <c r="D8" s="5" t="s">
        <v>1</v>
      </c>
      <c r="E8" s="5" t="s">
        <v>1</v>
      </c>
      <c r="F8" s="5" t="s">
        <v>1</v>
      </c>
      <c r="G8" s="5" t="s">
        <v>1</v>
      </c>
      <c r="H8" s="5" t="s">
        <v>1</v>
      </c>
      <c r="I8" s="5" t="s">
        <v>1</v>
      </c>
      <c r="J8" s="5" t="s">
        <v>1</v>
      </c>
      <c r="K8" s="1" t="s">
        <v>232</v>
      </c>
      <c r="L8" s="5" t="s">
        <v>1</v>
      </c>
      <c r="M8" s="5" t="s">
        <v>1</v>
      </c>
      <c r="N8" s="5" t="s">
        <v>1</v>
      </c>
      <c r="O8" s="5" t="s">
        <v>1</v>
      </c>
      <c r="P8" s="5" t="s">
        <v>1</v>
      </c>
      <c r="Q8" s="5" t="s">
        <v>1</v>
      </c>
      <c r="R8" s="5" t="s">
        <v>1</v>
      </c>
      <c r="S8" s="5" t="s">
        <v>1</v>
      </c>
      <c r="T8" s="5" t="s">
        <v>1</v>
      </c>
      <c r="U8" s="1" t="s">
        <v>239</v>
      </c>
    </row>
    <row r="9" spans="3:19" ht="12">
      <c r="C9" s="1" t="s">
        <v>240</v>
      </c>
      <c r="I9" s="1" t="s">
        <v>241</v>
      </c>
      <c r="M9" s="1" t="s">
        <v>240</v>
      </c>
      <c r="S9" s="1" t="s">
        <v>241</v>
      </c>
    </row>
    <row r="10" spans="3:21" ht="12">
      <c r="C10" s="5" t="s">
        <v>1</v>
      </c>
      <c r="D10" s="5" t="s">
        <v>1</v>
      </c>
      <c r="E10" s="5" t="s">
        <v>1</v>
      </c>
      <c r="F10" s="5" t="s">
        <v>1</v>
      </c>
      <c r="G10" s="5" t="s">
        <v>1</v>
      </c>
      <c r="H10" s="1" t="s">
        <v>242</v>
      </c>
      <c r="I10" s="5" t="s">
        <v>1</v>
      </c>
      <c r="J10" s="5" t="s">
        <v>1</v>
      </c>
      <c r="K10" s="1" t="s">
        <v>232</v>
      </c>
      <c r="M10" s="5" t="s">
        <v>1</v>
      </c>
      <c r="N10" s="5" t="s">
        <v>1</v>
      </c>
      <c r="O10" s="5" t="s">
        <v>1</v>
      </c>
      <c r="P10" s="5" t="s">
        <v>1</v>
      </c>
      <c r="Q10" s="5" t="s">
        <v>1</v>
      </c>
      <c r="R10" s="1" t="s">
        <v>242</v>
      </c>
      <c r="S10" s="5" t="s">
        <v>1</v>
      </c>
      <c r="T10" s="5" t="s">
        <v>1</v>
      </c>
      <c r="U10" s="1" t="s">
        <v>239</v>
      </c>
    </row>
    <row r="11" spans="4:14" ht="12">
      <c r="D11" s="1" t="s">
        <v>243</v>
      </c>
      <c r="N11" s="1" t="s">
        <v>243</v>
      </c>
    </row>
    <row r="12" spans="4:17" ht="12">
      <c r="D12" s="5" t="s">
        <v>1</v>
      </c>
      <c r="E12" s="5" t="s">
        <v>1</v>
      </c>
      <c r="F12" s="5" t="s">
        <v>1</v>
      </c>
      <c r="G12" s="1" t="s">
        <v>4</v>
      </c>
      <c r="N12" s="5" t="s">
        <v>1</v>
      </c>
      <c r="O12" s="5" t="s">
        <v>1</v>
      </c>
      <c r="P12" s="5" t="s">
        <v>1</v>
      </c>
      <c r="Q12" s="1" t="s">
        <v>4</v>
      </c>
    </row>
    <row r="13" spans="3:20" ht="12">
      <c r="C13" s="1" t="s">
        <v>244</v>
      </c>
      <c r="F13" s="1" t="s">
        <v>245</v>
      </c>
      <c r="J13" s="1"/>
      <c r="M13" s="1" t="s">
        <v>244</v>
      </c>
      <c r="P13" s="1" t="s">
        <v>245</v>
      </c>
      <c r="T13" s="1"/>
    </row>
    <row r="14" spans="3:20" ht="12">
      <c r="C14" s="2" t="s">
        <v>246</v>
      </c>
      <c r="F14" s="1" t="s">
        <v>247</v>
      </c>
      <c r="G14" s="1" t="s">
        <v>248</v>
      </c>
      <c r="H14" s="1" t="s">
        <v>186</v>
      </c>
      <c r="J14" s="1"/>
      <c r="M14" s="1" t="s">
        <v>246</v>
      </c>
      <c r="P14" s="1" t="s">
        <v>247</v>
      </c>
      <c r="Q14" s="1" t="s">
        <v>248</v>
      </c>
      <c r="R14" s="1" t="s">
        <v>186</v>
      </c>
      <c r="T14" s="1"/>
    </row>
    <row r="15" spans="3:21" ht="12">
      <c r="C15" s="1" t="s">
        <v>249</v>
      </c>
      <c r="E15" s="1" t="s">
        <v>250</v>
      </c>
      <c r="F15" s="1" t="s">
        <v>251</v>
      </c>
      <c r="G15" s="1" t="s">
        <v>252</v>
      </c>
      <c r="H15" s="1" t="s">
        <v>253</v>
      </c>
      <c r="I15" s="1" t="s">
        <v>254</v>
      </c>
      <c r="J15" s="1"/>
      <c r="K15" s="1" t="s">
        <v>255</v>
      </c>
      <c r="M15" s="1" t="s">
        <v>249</v>
      </c>
      <c r="O15" s="1" t="s">
        <v>250</v>
      </c>
      <c r="P15" s="1" t="s">
        <v>251</v>
      </c>
      <c r="Q15" s="1" t="s">
        <v>252</v>
      </c>
      <c r="R15" s="1" t="s">
        <v>253</v>
      </c>
      <c r="S15" s="1" t="s">
        <v>254</v>
      </c>
      <c r="T15" s="1"/>
      <c r="U15" s="1" t="s">
        <v>255</v>
      </c>
    </row>
    <row r="16" spans="1:21" ht="12">
      <c r="A16" s="1" t="s">
        <v>17</v>
      </c>
      <c r="B16" s="1" t="s">
        <v>256</v>
      </c>
      <c r="C16" s="1" t="s">
        <v>252</v>
      </c>
      <c r="E16" s="1" t="s">
        <v>257</v>
      </c>
      <c r="F16" s="1" t="s">
        <v>258</v>
      </c>
      <c r="G16" s="1" t="s">
        <v>259</v>
      </c>
      <c r="H16" s="1" t="s">
        <v>260</v>
      </c>
      <c r="I16" s="1" t="s">
        <v>261</v>
      </c>
      <c r="J16" s="1" t="s">
        <v>262</v>
      </c>
      <c r="K16" s="1" t="s">
        <v>263</v>
      </c>
      <c r="L16" s="1" t="s">
        <v>256</v>
      </c>
      <c r="M16" s="1" t="s">
        <v>252</v>
      </c>
      <c r="O16" s="1" t="s">
        <v>257</v>
      </c>
      <c r="P16" s="1" t="s">
        <v>258</v>
      </c>
      <c r="Q16" s="1" t="s">
        <v>259</v>
      </c>
      <c r="R16" s="1" t="s">
        <v>260</v>
      </c>
      <c r="S16" s="1" t="s">
        <v>261</v>
      </c>
      <c r="T16" s="1" t="s">
        <v>262</v>
      </c>
      <c r="U16" s="1" t="s">
        <v>263</v>
      </c>
    </row>
    <row r="17" spans="1:21" ht="12">
      <c r="A17" s="1" t="s">
        <v>23</v>
      </c>
      <c r="B17" s="1" t="s">
        <v>264</v>
      </c>
      <c r="C17" s="1" t="s">
        <v>265</v>
      </c>
      <c r="D17" s="1" t="s">
        <v>256</v>
      </c>
      <c r="E17" s="1" t="s">
        <v>266</v>
      </c>
      <c r="F17" s="1" t="s">
        <v>267</v>
      </c>
      <c r="G17" s="1" t="s">
        <v>268</v>
      </c>
      <c r="H17" s="1" t="s">
        <v>269</v>
      </c>
      <c r="I17" s="6" t="s">
        <v>270</v>
      </c>
      <c r="J17" s="6" t="s">
        <v>270</v>
      </c>
      <c r="K17" s="1" t="s">
        <v>271</v>
      </c>
      <c r="L17" s="1" t="s">
        <v>264</v>
      </c>
      <c r="M17" s="1" t="s">
        <v>265</v>
      </c>
      <c r="N17" s="1" t="s">
        <v>256</v>
      </c>
      <c r="O17" s="1" t="s">
        <v>266</v>
      </c>
      <c r="P17" s="1" t="s">
        <v>267</v>
      </c>
      <c r="Q17" s="1" t="s">
        <v>268</v>
      </c>
      <c r="R17" s="1" t="s">
        <v>269</v>
      </c>
      <c r="S17" s="6" t="s">
        <v>270</v>
      </c>
      <c r="T17" s="6" t="s">
        <v>270</v>
      </c>
      <c r="U17" s="1" t="s">
        <v>271</v>
      </c>
    </row>
    <row r="18" spans="1:21" ht="12.75" thickBot="1">
      <c r="A18" s="116"/>
      <c r="B18" s="116"/>
      <c r="C18" s="116"/>
      <c r="D18" s="116"/>
      <c r="E18" s="116"/>
      <c r="F18" s="116"/>
      <c r="G18" s="116"/>
      <c r="H18" s="116"/>
      <c r="I18" s="116"/>
      <c r="J18" s="116"/>
      <c r="K18" s="116"/>
      <c r="L18" s="116"/>
      <c r="M18" s="116"/>
      <c r="N18" s="116"/>
      <c r="O18" s="116"/>
      <c r="P18" s="116"/>
      <c r="Q18" s="116"/>
      <c r="R18" s="116"/>
      <c r="S18" s="116"/>
      <c r="T18" s="116"/>
      <c r="U18" s="116"/>
    </row>
    <row r="19" spans="1:21" ht="12">
      <c r="A19" s="1" t="s">
        <v>40</v>
      </c>
      <c r="B19" s="20">
        <v>0</v>
      </c>
      <c r="C19" s="20">
        <v>0.9</v>
      </c>
      <c r="D19" s="20">
        <v>-2.7</v>
      </c>
      <c r="E19" s="20">
        <v>-4.3</v>
      </c>
      <c r="F19" s="20">
        <v>-0.6</v>
      </c>
      <c r="G19" s="20">
        <v>-2.9</v>
      </c>
      <c r="H19" s="20">
        <v>8</v>
      </c>
      <c r="I19" s="20">
        <v>-1.8</v>
      </c>
      <c r="J19" s="20">
        <v>-2</v>
      </c>
      <c r="K19" s="20">
        <v>-2.2</v>
      </c>
      <c r="L19" s="20">
        <v>-1.3</v>
      </c>
      <c r="M19" s="20">
        <v>-0.9</v>
      </c>
      <c r="N19" s="20">
        <v>-3.3</v>
      </c>
      <c r="O19" s="20">
        <v>-7.5</v>
      </c>
      <c r="P19" s="20">
        <v>-1.8</v>
      </c>
      <c r="Q19" s="20">
        <v>-2.4</v>
      </c>
      <c r="R19" s="20">
        <v>6.6</v>
      </c>
      <c r="S19" s="20">
        <v>-3.1</v>
      </c>
      <c r="T19" s="20">
        <v>-2.9</v>
      </c>
      <c r="U19" s="20">
        <v>1.1</v>
      </c>
    </row>
    <row r="20" spans="1:21" ht="12">
      <c r="A20" s="1" t="s">
        <v>36</v>
      </c>
      <c r="B20" s="20">
        <v>0.3</v>
      </c>
      <c r="C20" s="20">
        <v>0.5</v>
      </c>
      <c r="D20" s="20">
        <v>-1.8</v>
      </c>
      <c r="E20" s="20">
        <v>-3.7</v>
      </c>
      <c r="F20" s="20">
        <v>-1.6</v>
      </c>
      <c r="G20" s="20">
        <v>-1.2</v>
      </c>
      <c r="H20" s="20">
        <v>7</v>
      </c>
      <c r="I20" s="20">
        <v>-1.2</v>
      </c>
      <c r="J20" s="20">
        <v>-1.3</v>
      </c>
      <c r="K20" s="20">
        <v>2</v>
      </c>
      <c r="L20" s="20">
        <v>-0.6</v>
      </c>
      <c r="M20" s="20">
        <v>0</v>
      </c>
      <c r="N20" s="20">
        <v>-2.5</v>
      </c>
      <c r="O20" s="20">
        <v>-4.6</v>
      </c>
      <c r="P20" s="20">
        <v>-1</v>
      </c>
      <c r="Q20" s="20">
        <v>-2.3</v>
      </c>
      <c r="R20" s="20">
        <v>6.6</v>
      </c>
      <c r="S20" s="20">
        <v>-2.2</v>
      </c>
      <c r="T20" s="20">
        <v>-2.3</v>
      </c>
      <c r="U20" s="20">
        <v>1.7</v>
      </c>
    </row>
    <row r="21" spans="1:21" ht="12">
      <c r="A21" s="1" t="s">
        <v>32</v>
      </c>
      <c r="B21" s="20">
        <v>0.7</v>
      </c>
      <c r="C21" s="20">
        <v>1.1</v>
      </c>
      <c r="D21" s="20">
        <v>-1.6</v>
      </c>
      <c r="E21" s="20">
        <v>-5.8</v>
      </c>
      <c r="F21" s="20">
        <v>-0.6</v>
      </c>
      <c r="G21" s="20">
        <v>-0.5</v>
      </c>
      <c r="H21" s="20">
        <v>6.1</v>
      </c>
      <c r="I21" s="20">
        <v>-1.2</v>
      </c>
      <c r="J21" s="20">
        <v>-1.3</v>
      </c>
      <c r="K21" s="20">
        <v>2.3</v>
      </c>
      <c r="L21" s="20">
        <v>-0.5</v>
      </c>
      <c r="M21" s="20">
        <v>-0.9</v>
      </c>
      <c r="N21" s="20">
        <v>-2.6</v>
      </c>
      <c r="O21" s="20">
        <v>-5.7</v>
      </c>
      <c r="P21" s="20">
        <v>-2.1</v>
      </c>
      <c r="Q21" s="20">
        <v>-1.8</v>
      </c>
      <c r="R21" s="20">
        <v>5.6</v>
      </c>
      <c r="S21" s="20">
        <v>-2.5</v>
      </c>
      <c r="T21" s="20">
        <v>-2.4</v>
      </c>
      <c r="U21" s="20">
        <v>1.4</v>
      </c>
    </row>
    <row r="22" spans="1:21" ht="12">
      <c r="A22" s="1" t="s">
        <v>33</v>
      </c>
      <c r="B22" s="20">
        <v>0.7</v>
      </c>
      <c r="C22" s="20">
        <v>-0.4</v>
      </c>
      <c r="D22" s="20">
        <v>-0.5</v>
      </c>
      <c r="E22" s="20">
        <v>-2.7</v>
      </c>
      <c r="F22" s="20">
        <v>0.8</v>
      </c>
      <c r="G22" s="20">
        <v>-0.1</v>
      </c>
      <c r="H22" s="20">
        <v>6.1</v>
      </c>
      <c r="I22" s="20">
        <v>-0.6</v>
      </c>
      <c r="J22" s="20">
        <v>-1</v>
      </c>
      <c r="K22" s="20">
        <v>2.4</v>
      </c>
      <c r="L22" s="20">
        <v>-0.7</v>
      </c>
      <c r="M22" s="20">
        <v>-1.2</v>
      </c>
      <c r="N22" s="20">
        <v>-1.7</v>
      </c>
      <c r="O22" s="20">
        <v>-4.6</v>
      </c>
      <c r="P22" s="20">
        <v>-1.1</v>
      </c>
      <c r="Q22" s="20">
        <v>-0.9</v>
      </c>
      <c r="R22" s="20">
        <v>2.6</v>
      </c>
      <c r="S22" s="20">
        <v>-2.2</v>
      </c>
      <c r="T22" s="20">
        <v>-2</v>
      </c>
      <c r="U22" s="20">
        <v>0.7</v>
      </c>
    </row>
    <row r="23" spans="1:21" ht="12">
      <c r="A23" s="1" t="s">
        <v>9</v>
      </c>
      <c r="B23" s="21">
        <f aca="true" t="shared" si="0" ref="B23:U23">AVERAGE(B19:B22)</f>
        <v>0.425</v>
      </c>
      <c r="C23" s="21">
        <f t="shared" si="0"/>
        <v>0.525</v>
      </c>
      <c r="D23" s="21">
        <f t="shared" si="0"/>
        <v>-1.65</v>
      </c>
      <c r="E23" s="21">
        <f t="shared" si="0"/>
        <v>-4.125</v>
      </c>
      <c r="F23" s="21">
        <f t="shared" si="0"/>
        <v>-0.5</v>
      </c>
      <c r="G23" s="21">
        <f t="shared" si="0"/>
        <v>-1.1749999999999998</v>
      </c>
      <c r="H23" s="21">
        <f t="shared" si="0"/>
        <v>6.800000000000001</v>
      </c>
      <c r="I23" s="21">
        <f t="shared" si="0"/>
        <v>-1.2</v>
      </c>
      <c r="J23" s="21">
        <f t="shared" si="0"/>
        <v>-1.4</v>
      </c>
      <c r="K23" s="21">
        <f t="shared" si="0"/>
        <v>1.125</v>
      </c>
      <c r="L23" s="21">
        <f t="shared" si="0"/>
        <v>-0.7749999999999999</v>
      </c>
      <c r="M23" s="21">
        <f t="shared" si="0"/>
        <v>-0.75</v>
      </c>
      <c r="N23" s="21">
        <f t="shared" si="0"/>
        <v>-2.525</v>
      </c>
      <c r="O23" s="21">
        <f t="shared" si="0"/>
        <v>-5.6</v>
      </c>
      <c r="P23" s="21">
        <f t="shared" si="0"/>
        <v>-1.5</v>
      </c>
      <c r="Q23" s="21">
        <f t="shared" si="0"/>
        <v>-1.8499999999999999</v>
      </c>
      <c r="R23" s="21">
        <f t="shared" si="0"/>
        <v>5.35</v>
      </c>
      <c r="S23" s="21">
        <f t="shared" si="0"/>
        <v>-2.5</v>
      </c>
      <c r="T23" s="21">
        <f t="shared" si="0"/>
        <v>-2.4</v>
      </c>
      <c r="U23" s="21">
        <f t="shared" si="0"/>
        <v>1.2249999999999999</v>
      </c>
    </row>
    <row r="24" spans="1:21" ht="12">
      <c r="A24" s="1" t="s">
        <v>42</v>
      </c>
      <c r="B24" s="20">
        <v>0.2</v>
      </c>
      <c r="C24" s="20">
        <v>-2.6</v>
      </c>
      <c r="D24" s="20">
        <v>-1.2</v>
      </c>
      <c r="E24" s="20">
        <v>-4.7</v>
      </c>
      <c r="F24" s="20">
        <v>-0.3</v>
      </c>
      <c r="G24" s="20">
        <v>-0.2</v>
      </c>
      <c r="H24" s="20">
        <v>5.8</v>
      </c>
      <c r="I24" s="20">
        <v>-2.3</v>
      </c>
      <c r="J24" s="20">
        <v>-2.2</v>
      </c>
      <c r="K24" s="20">
        <v>2.3</v>
      </c>
      <c r="L24" s="20">
        <v>-0.7</v>
      </c>
      <c r="M24" s="20">
        <v>-1.6</v>
      </c>
      <c r="N24" s="20">
        <v>-2.3</v>
      </c>
      <c r="O24" s="20">
        <v>-4.1</v>
      </c>
      <c r="P24" s="20">
        <v>-1.2</v>
      </c>
      <c r="Q24" s="20">
        <v>-2.1</v>
      </c>
      <c r="R24" s="20">
        <v>4.5</v>
      </c>
      <c r="S24" s="20">
        <v>-2.9</v>
      </c>
      <c r="T24" s="20">
        <v>-2.7</v>
      </c>
      <c r="U24" s="20">
        <v>1.4</v>
      </c>
    </row>
    <row r="25" spans="1:21" ht="12">
      <c r="A25" s="1" t="s">
        <v>36</v>
      </c>
      <c r="B25" s="20">
        <v>0</v>
      </c>
      <c r="C25" s="20">
        <v>-2.6</v>
      </c>
      <c r="D25" s="20">
        <v>-0.6</v>
      </c>
      <c r="E25" s="20">
        <v>-3</v>
      </c>
      <c r="F25" s="20">
        <v>0.4</v>
      </c>
      <c r="G25" s="20">
        <v>-0.1</v>
      </c>
      <c r="H25" s="20">
        <v>3.5</v>
      </c>
      <c r="I25" s="20">
        <v>-1.9</v>
      </c>
      <c r="J25" s="20">
        <v>-1.7</v>
      </c>
      <c r="K25" s="20">
        <v>1.6</v>
      </c>
      <c r="L25" s="20">
        <v>-1.1</v>
      </c>
      <c r="M25" s="20">
        <v>-3.8</v>
      </c>
      <c r="N25" s="20">
        <v>-1.5</v>
      </c>
      <c r="O25" s="20">
        <v>-4.2</v>
      </c>
      <c r="P25" s="20">
        <v>-0.2</v>
      </c>
      <c r="Q25" s="20">
        <v>-1.2</v>
      </c>
      <c r="R25" s="20">
        <v>2.4</v>
      </c>
      <c r="S25" s="20">
        <v>-2.7</v>
      </c>
      <c r="T25" s="20">
        <v>-2.7</v>
      </c>
      <c r="U25" s="20">
        <v>0.4</v>
      </c>
    </row>
    <row r="26" spans="1:21" ht="12">
      <c r="A26" s="1" t="s">
        <v>32</v>
      </c>
      <c r="B26" s="20">
        <v>-0.6</v>
      </c>
      <c r="C26" s="20">
        <v>-2.9</v>
      </c>
      <c r="D26" s="20">
        <v>-0.7</v>
      </c>
      <c r="E26" s="20">
        <v>-3</v>
      </c>
      <c r="F26" s="20">
        <v>0.7</v>
      </c>
      <c r="G26" s="20">
        <v>-0.7</v>
      </c>
      <c r="H26" s="20">
        <v>1.7</v>
      </c>
      <c r="I26" s="20">
        <v>-1.9</v>
      </c>
      <c r="J26" s="20">
        <v>-2.1</v>
      </c>
      <c r="K26" s="20">
        <v>0.4</v>
      </c>
      <c r="L26" s="20">
        <v>-1.3</v>
      </c>
      <c r="M26" s="20">
        <v>-2.5</v>
      </c>
      <c r="N26" s="20">
        <v>-1.5</v>
      </c>
      <c r="O26" s="20">
        <v>-3.3</v>
      </c>
      <c r="P26" s="20">
        <v>-0.9</v>
      </c>
      <c r="Q26" s="20">
        <v>-1.2</v>
      </c>
      <c r="R26" s="20">
        <v>1.2</v>
      </c>
      <c r="S26" s="20">
        <v>-2.4</v>
      </c>
      <c r="T26" s="20">
        <v>-2.6</v>
      </c>
      <c r="U26" s="20">
        <v>-0.2</v>
      </c>
    </row>
    <row r="27" spans="1:21" ht="12">
      <c r="A27" s="1" t="s">
        <v>33</v>
      </c>
      <c r="B27" s="20">
        <v>0.3</v>
      </c>
      <c r="C27" s="20">
        <v>-0.4</v>
      </c>
      <c r="D27" s="20">
        <v>-0.2</v>
      </c>
      <c r="E27" s="20">
        <v>-1.6</v>
      </c>
      <c r="F27" s="20">
        <v>-0.1</v>
      </c>
      <c r="G27" s="20">
        <v>0.3</v>
      </c>
      <c r="H27" s="20">
        <v>2.4</v>
      </c>
      <c r="I27" s="20">
        <v>-1.2</v>
      </c>
      <c r="J27" s="20">
        <v>-1.1</v>
      </c>
      <c r="K27" s="20">
        <v>1.3</v>
      </c>
      <c r="L27" s="20">
        <v>-0.6</v>
      </c>
      <c r="M27" s="20">
        <v>-2.1</v>
      </c>
      <c r="N27" s="20">
        <v>-0.9</v>
      </c>
      <c r="O27" s="20">
        <v>-3.6</v>
      </c>
      <c r="P27" s="20">
        <v>0</v>
      </c>
      <c r="Q27" s="20">
        <v>-0.3</v>
      </c>
      <c r="R27" s="20">
        <v>2.1</v>
      </c>
      <c r="S27" s="20">
        <v>-1.9</v>
      </c>
      <c r="T27" s="20">
        <v>-1.9</v>
      </c>
      <c r="U27" s="20">
        <v>0.4</v>
      </c>
    </row>
    <row r="28" spans="1:21" ht="12">
      <c r="A28" s="1" t="s">
        <v>9</v>
      </c>
      <c r="B28" s="21">
        <f aca="true" t="shared" si="1" ref="B28:U28">AVERAGE(B24:B27)</f>
        <v>-0.024999999999999994</v>
      </c>
      <c r="C28" s="21">
        <f t="shared" si="1"/>
        <v>-2.125</v>
      </c>
      <c r="D28" s="21">
        <f t="shared" si="1"/>
        <v>-0.675</v>
      </c>
      <c r="E28" s="21">
        <f t="shared" si="1"/>
        <v>-3.0749999999999997</v>
      </c>
      <c r="F28" s="21">
        <f t="shared" si="1"/>
        <v>0.17500000000000002</v>
      </c>
      <c r="G28" s="21">
        <f t="shared" si="1"/>
        <v>-0.175</v>
      </c>
      <c r="H28" s="21">
        <f t="shared" si="1"/>
        <v>3.35</v>
      </c>
      <c r="I28" s="21">
        <f t="shared" si="1"/>
        <v>-1.825</v>
      </c>
      <c r="J28" s="21">
        <f t="shared" si="1"/>
        <v>-1.775</v>
      </c>
      <c r="K28" s="21">
        <f t="shared" si="1"/>
        <v>1.4</v>
      </c>
      <c r="L28" s="21">
        <f t="shared" si="1"/>
        <v>-0.925</v>
      </c>
      <c r="M28" s="21">
        <f t="shared" si="1"/>
        <v>-2.5</v>
      </c>
      <c r="N28" s="21">
        <f t="shared" si="1"/>
        <v>-1.55</v>
      </c>
      <c r="O28" s="21">
        <f t="shared" si="1"/>
        <v>-3.8000000000000003</v>
      </c>
      <c r="P28" s="21">
        <f t="shared" si="1"/>
        <v>-0.575</v>
      </c>
      <c r="Q28" s="21">
        <f t="shared" si="1"/>
        <v>-1.2</v>
      </c>
      <c r="R28" s="21">
        <f t="shared" si="1"/>
        <v>2.55</v>
      </c>
      <c r="S28" s="21">
        <f t="shared" si="1"/>
        <v>-2.475</v>
      </c>
      <c r="T28" s="21">
        <f t="shared" si="1"/>
        <v>-2.475</v>
      </c>
      <c r="U28" s="21">
        <f t="shared" si="1"/>
        <v>0.5</v>
      </c>
    </row>
    <row r="29" spans="1:21" ht="12">
      <c r="A29" s="1" t="s">
        <v>44</v>
      </c>
      <c r="B29" s="20">
        <v>-0.8</v>
      </c>
      <c r="C29" s="20">
        <v>-0.4</v>
      </c>
      <c r="D29" s="20">
        <v>-2.4</v>
      </c>
      <c r="E29" s="20">
        <v>-1.4</v>
      </c>
      <c r="F29" s="20">
        <v>-1.5</v>
      </c>
      <c r="G29" s="20">
        <v>-3.3</v>
      </c>
      <c r="H29" s="20">
        <v>2.9</v>
      </c>
      <c r="I29" s="20">
        <v>-2.9</v>
      </c>
      <c r="J29" s="20">
        <v>-3</v>
      </c>
      <c r="K29" s="20">
        <v>0.6</v>
      </c>
      <c r="L29" s="20">
        <v>-0.9</v>
      </c>
      <c r="M29" s="20">
        <v>-1</v>
      </c>
      <c r="N29" s="20">
        <v>-2</v>
      </c>
      <c r="O29" s="20">
        <v>-3.5</v>
      </c>
      <c r="P29" s="20">
        <v>-1.6</v>
      </c>
      <c r="Q29" s="20">
        <v>-1.6</v>
      </c>
      <c r="R29" s="20">
        <v>2.7</v>
      </c>
      <c r="S29" s="20">
        <v>-2.6</v>
      </c>
      <c r="T29" s="20">
        <v>-2.8</v>
      </c>
      <c r="U29" s="20">
        <v>0.5</v>
      </c>
    </row>
    <row r="30" spans="1:21" ht="12">
      <c r="A30" s="1" t="s">
        <v>36</v>
      </c>
      <c r="B30" s="20">
        <v>-0.5</v>
      </c>
      <c r="C30" s="20">
        <v>-0.8</v>
      </c>
      <c r="D30" s="20">
        <v>-1.7</v>
      </c>
      <c r="E30" s="20">
        <v>-1.4</v>
      </c>
      <c r="F30" s="20">
        <v>-0.6</v>
      </c>
      <c r="G30" s="20">
        <v>-2.3</v>
      </c>
      <c r="H30" s="20">
        <v>2.9</v>
      </c>
      <c r="I30" s="20">
        <v>-2.6</v>
      </c>
      <c r="J30" s="20">
        <v>-2.3</v>
      </c>
      <c r="K30" s="20">
        <v>0.9</v>
      </c>
      <c r="L30" s="20">
        <v>-1.3</v>
      </c>
      <c r="M30" s="20">
        <v>-1.6</v>
      </c>
      <c r="N30" s="20">
        <v>-2</v>
      </c>
      <c r="O30" s="20">
        <v>-3.3</v>
      </c>
      <c r="P30" s="20">
        <v>-1.1</v>
      </c>
      <c r="Q30" s="20">
        <v>-1.9</v>
      </c>
      <c r="R30" s="20">
        <v>1.3</v>
      </c>
      <c r="S30" s="20">
        <v>-2.6</v>
      </c>
      <c r="T30" s="20">
        <v>-3</v>
      </c>
      <c r="U30" s="20">
        <v>-0.1</v>
      </c>
    </row>
    <row r="31" spans="1:21" ht="12">
      <c r="A31" s="1" t="s">
        <v>32</v>
      </c>
      <c r="B31" s="20">
        <v>-0.2</v>
      </c>
      <c r="C31" s="20">
        <v>0.4</v>
      </c>
      <c r="D31" s="20">
        <v>-1.8</v>
      </c>
      <c r="E31" s="20">
        <v>-1.6</v>
      </c>
      <c r="F31" s="20">
        <v>-0.7</v>
      </c>
      <c r="G31" s="20">
        <v>-2.6</v>
      </c>
      <c r="H31" s="20">
        <v>3.2</v>
      </c>
      <c r="I31" s="20">
        <v>-1.3</v>
      </c>
      <c r="J31" s="20">
        <v>-1.2</v>
      </c>
      <c r="K31" s="20">
        <v>0.6</v>
      </c>
      <c r="L31" s="20">
        <v>-0.9</v>
      </c>
      <c r="M31" s="20">
        <v>-1.7</v>
      </c>
      <c r="N31" s="20">
        <v>-1.5</v>
      </c>
      <c r="O31" s="20">
        <v>-2.1</v>
      </c>
      <c r="P31" s="20">
        <v>-0.5</v>
      </c>
      <c r="Q31" s="20">
        <v>-1.8</v>
      </c>
      <c r="R31" s="20">
        <v>1.7</v>
      </c>
      <c r="S31" s="20">
        <v>-2</v>
      </c>
      <c r="T31" s="20">
        <v>-2.2</v>
      </c>
      <c r="U31" s="20">
        <v>-0.1</v>
      </c>
    </row>
    <row r="32" spans="1:21" ht="12">
      <c r="A32" s="1" t="s">
        <v>33</v>
      </c>
      <c r="B32" s="20">
        <v>2.4</v>
      </c>
      <c r="C32" s="20">
        <v>1</v>
      </c>
      <c r="D32" s="20">
        <v>0.3</v>
      </c>
      <c r="E32" s="20">
        <v>2.8</v>
      </c>
      <c r="F32" s="20">
        <v>-0.5</v>
      </c>
      <c r="G32" s="20">
        <v>-0.3</v>
      </c>
      <c r="H32" s="20">
        <v>7.9</v>
      </c>
      <c r="I32" s="20">
        <v>-0.4</v>
      </c>
      <c r="J32" s="20">
        <v>-0.1</v>
      </c>
      <c r="K32" s="20">
        <v>4.1</v>
      </c>
      <c r="L32" s="20">
        <v>0.4</v>
      </c>
      <c r="M32" s="20">
        <v>-0.8</v>
      </c>
      <c r="N32" s="20">
        <v>-0.2</v>
      </c>
      <c r="O32" s="20">
        <v>0.2</v>
      </c>
      <c r="P32" s="20">
        <v>0.9</v>
      </c>
      <c r="Q32" s="20">
        <v>-0.8</v>
      </c>
      <c r="R32" s="20">
        <v>3.2</v>
      </c>
      <c r="S32" s="20">
        <v>-1.2</v>
      </c>
      <c r="T32" s="20">
        <v>-1.3</v>
      </c>
      <c r="U32" s="20">
        <v>1.7</v>
      </c>
    </row>
    <row r="33" spans="1:21" ht="12">
      <c r="A33" s="1" t="s">
        <v>9</v>
      </c>
      <c r="B33" s="21">
        <f aca="true" t="shared" si="2" ref="B33:U33">AVERAGE(B29:B32)</f>
        <v>0.22499999999999998</v>
      </c>
      <c r="C33" s="21">
        <f t="shared" si="2"/>
        <v>0.04999999999999996</v>
      </c>
      <c r="D33" s="21">
        <f t="shared" si="2"/>
        <v>-1.4</v>
      </c>
      <c r="E33" s="21">
        <f t="shared" si="2"/>
        <v>-0.40000000000000013</v>
      </c>
      <c r="F33" s="21">
        <f t="shared" si="2"/>
        <v>-0.825</v>
      </c>
      <c r="G33" s="21">
        <f t="shared" si="2"/>
        <v>-2.125</v>
      </c>
      <c r="H33" s="21">
        <f t="shared" si="2"/>
        <v>4.225</v>
      </c>
      <c r="I33" s="21">
        <f t="shared" si="2"/>
        <v>-1.8</v>
      </c>
      <c r="J33" s="21">
        <f t="shared" si="2"/>
        <v>-1.65</v>
      </c>
      <c r="K33" s="21">
        <f t="shared" si="2"/>
        <v>1.5499999999999998</v>
      </c>
      <c r="L33" s="21">
        <f t="shared" si="2"/>
        <v>-0.675</v>
      </c>
      <c r="M33" s="21">
        <f t="shared" si="2"/>
        <v>-1.275</v>
      </c>
      <c r="N33" s="21">
        <f t="shared" si="2"/>
        <v>-1.425</v>
      </c>
      <c r="O33" s="21">
        <f t="shared" si="2"/>
        <v>-2.1750000000000003</v>
      </c>
      <c r="P33" s="21">
        <f t="shared" si="2"/>
        <v>-0.5750000000000001</v>
      </c>
      <c r="Q33" s="21">
        <f t="shared" si="2"/>
        <v>-1.525</v>
      </c>
      <c r="R33" s="21">
        <f t="shared" si="2"/>
        <v>2.225</v>
      </c>
      <c r="S33" s="21">
        <f t="shared" si="2"/>
        <v>-2.1</v>
      </c>
      <c r="T33" s="21">
        <f t="shared" si="2"/>
        <v>-2.325</v>
      </c>
      <c r="U33" s="21">
        <f t="shared" si="2"/>
        <v>0.5</v>
      </c>
    </row>
    <row r="34" spans="1:21" ht="12">
      <c r="A34" s="1" t="s">
        <v>46</v>
      </c>
      <c r="B34" s="20">
        <v>1.7</v>
      </c>
      <c r="C34" s="20">
        <v>-1</v>
      </c>
      <c r="D34" s="20">
        <v>0.3</v>
      </c>
      <c r="E34" s="20">
        <v>-0.3</v>
      </c>
      <c r="F34" s="20">
        <v>1.9</v>
      </c>
      <c r="G34" s="20">
        <v>-0.4</v>
      </c>
      <c r="H34" s="20">
        <v>6.6</v>
      </c>
      <c r="I34" s="20">
        <v>-1</v>
      </c>
      <c r="J34" s="20">
        <v>-1.1</v>
      </c>
      <c r="K34" s="20">
        <v>3.6</v>
      </c>
      <c r="L34" s="20">
        <v>0.3</v>
      </c>
      <c r="M34" s="20">
        <v>-1</v>
      </c>
      <c r="N34" s="20">
        <v>0</v>
      </c>
      <c r="O34" s="20">
        <v>-0.7</v>
      </c>
      <c r="P34" s="20">
        <v>0.4</v>
      </c>
      <c r="Q34" s="20">
        <v>0.1</v>
      </c>
      <c r="R34" s="20">
        <v>2.6</v>
      </c>
      <c r="S34" s="20">
        <v>-0.9</v>
      </c>
      <c r="T34" s="20">
        <v>-1.1</v>
      </c>
      <c r="U34" s="20">
        <v>1.4</v>
      </c>
    </row>
    <row r="35" spans="1:21" ht="12">
      <c r="A35" s="1" t="s">
        <v>36</v>
      </c>
      <c r="B35" s="20">
        <v>2</v>
      </c>
      <c r="C35" s="20">
        <v>-0.1</v>
      </c>
      <c r="D35" s="20">
        <v>0.1</v>
      </c>
      <c r="E35" s="20">
        <v>-1.5</v>
      </c>
      <c r="F35" s="20">
        <v>2</v>
      </c>
      <c r="G35" s="20">
        <v>-0.1</v>
      </c>
      <c r="H35" s="20">
        <v>7.5</v>
      </c>
      <c r="I35" s="20">
        <v>-1</v>
      </c>
      <c r="J35" s="20">
        <v>-0.5</v>
      </c>
      <c r="K35" s="20">
        <v>4</v>
      </c>
      <c r="L35" s="20">
        <v>0.1</v>
      </c>
      <c r="M35" s="20">
        <v>-1.2</v>
      </c>
      <c r="N35" s="20">
        <v>-0.3</v>
      </c>
      <c r="O35" s="20">
        <v>-1</v>
      </c>
      <c r="P35" s="20">
        <v>0.4</v>
      </c>
      <c r="Q35" s="20">
        <v>-0.4</v>
      </c>
      <c r="R35" s="20">
        <v>3.1</v>
      </c>
      <c r="S35" s="20">
        <v>-1.5</v>
      </c>
      <c r="T35" s="20">
        <v>-1.7</v>
      </c>
      <c r="U35" s="20">
        <v>1.6</v>
      </c>
    </row>
    <row r="36" spans="1:21" ht="12">
      <c r="A36" s="1" t="s">
        <v>32</v>
      </c>
      <c r="B36" s="20">
        <v>1.9</v>
      </c>
      <c r="C36" s="20">
        <v>1.7</v>
      </c>
      <c r="D36" s="20">
        <v>-1</v>
      </c>
      <c r="E36" s="20">
        <v>-2.1</v>
      </c>
      <c r="F36" s="20">
        <v>-1.4</v>
      </c>
      <c r="G36" s="20">
        <v>-0.2</v>
      </c>
      <c r="H36" s="20">
        <v>8.3</v>
      </c>
      <c r="I36" s="20">
        <v>-1.4</v>
      </c>
      <c r="J36" s="20">
        <v>-1.4</v>
      </c>
      <c r="K36" s="20">
        <v>4.1</v>
      </c>
      <c r="L36" s="20">
        <v>0.4</v>
      </c>
      <c r="M36" s="20">
        <v>-1.3</v>
      </c>
      <c r="N36" s="20">
        <v>-0.3</v>
      </c>
      <c r="O36" s="20">
        <v>-1.4</v>
      </c>
      <c r="P36" s="20">
        <v>0.6</v>
      </c>
      <c r="Q36" s="20">
        <v>-0.3</v>
      </c>
      <c r="R36" s="20">
        <v>4.3</v>
      </c>
      <c r="S36" s="20">
        <v>-1.2</v>
      </c>
      <c r="T36" s="20">
        <v>-1.6</v>
      </c>
      <c r="U36" s="20">
        <v>1.8</v>
      </c>
    </row>
    <row r="37" spans="1:21" ht="12">
      <c r="A37" s="1" t="s">
        <v>33</v>
      </c>
      <c r="B37" s="20">
        <v>1</v>
      </c>
      <c r="C37" s="20">
        <v>0.3</v>
      </c>
      <c r="D37" s="20">
        <v>-0.6</v>
      </c>
      <c r="E37" s="20">
        <v>-0.4</v>
      </c>
      <c r="F37" s="20">
        <v>1.2</v>
      </c>
      <c r="G37" s="20">
        <v>-1.8</v>
      </c>
      <c r="H37" s="20">
        <v>5</v>
      </c>
      <c r="I37" s="20">
        <v>-1.2</v>
      </c>
      <c r="J37" s="20">
        <v>-1.7</v>
      </c>
      <c r="K37" s="20">
        <v>2.7</v>
      </c>
      <c r="L37" s="20">
        <v>0.4</v>
      </c>
      <c r="M37" s="20">
        <v>0.7</v>
      </c>
      <c r="N37" s="20">
        <v>-0.7</v>
      </c>
      <c r="O37" s="20">
        <v>-1.4</v>
      </c>
      <c r="P37" s="20">
        <v>0.8</v>
      </c>
      <c r="Q37" s="20">
        <v>-1.2</v>
      </c>
      <c r="R37" s="20">
        <v>3.6</v>
      </c>
      <c r="S37" s="20">
        <v>-1.2</v>
      </c>
      <c r="T37" s="20">
        <v>-1.3</v>
      </c>
      <c r="U37" s="20">
        <v>1.8</v>
      </c>
    </row>
    <row r="38" spans="1:21" ht="12">
      <c r="A38" s="1" t="s">
        <v>9</v>
      </c>
      <c r="B38" s="21">
        <f aca="true" t="shared" si="3" ref="B38:U38">AVERAGE(B34:B37)</f>
        <v>1.65</v>
      </c>
      <c r="C38" s="21">
        <f t="shared" si="3"/>
        <v>0.22499999999999998</v>
      </c>
      <c r="D38" s="21">
        <f t="shared" si="3"/>
        <v>-0.3</v>
      </c>
      <c r="E38" s="21">
        <f t="shared" si="3"/>
        <v>-1.0750000000000002</v>
      </c>
      <c r="F38" s="21">
        <f t="shared" si="3"/>
        <v>0.925</v>
      </c>
      <c r="G38" s="21">
        <f t="shared" si="3"/>
        <v>-0.625</v>
      </c>
      <c r="H38" s="21">
        <f t="shared" si="3"/>
        <v>6.85</v>
      </c>
      <c r="I38" s="21">
        <f t="shared" si="3"/>
        <v>-1.15</v>
      </c>
      <c r="J38" s="21">
        <f t="shared" si="3"/>
        <v>-1.175</v>
      </c>
      <c r="K38" s="21">
        <f t="shared" si="3"/>
        <v>3.5999999999999996</v>
      </c>
      <c r="L38" s="21">
        <f t="shared" si="3"/>
        <v>0.30000000000000004</v>
      </c>
      <c r="M38" s="21">
        <f t="shared" si="3"/>
        <v>-0.7</v>
      </c>
      <c r="N38" s="21">
        <f t="shared" si="3"/>
        <v>-0.32499999999999996</v>
      </c>
      <c r="O38" s="21">
        <f t="shared" si="3"/>
        <v>-1.125</v>
      </c>
      <c r="P38" s="21">
        <f t="shared" si="3"/>
        <v>0.55</v>
      </c>
      <c r="Q38" s="21">
        <f t="shared" si="3"/>
        <v>-0.45</v>
      </c>
      <c r="R38" s="21">
        <f t="shared" si="3"/>
        <v>3.4</v>
      </c>
      <c r="S38" s="21">
        <f t="shared" si="3"/>
        <v>-1.2</v>
      </c>
      <c r="T38" s="21">
        <f t="shared" si="3"/>
        <v>-1.425</v>
      </c>
      <c r="U38" s="21">
        <f t="shared" si="3"/>
        <v>1.65</v>
      </c>
    </row>
    <row r="39" spans="1:21" ht="12">
      <c r="A39" s="1" t="s">
        <v>48</v>
      </c>
      <c r="B39" s="20">
        <v>2.741</v>
      </c>
      <c r="C39" s="20">
        <v>0.826</v>
      </c>
      <c r="D39" s="20">
        <v>0.628</v>
      </c>
      <c r="E39" s="20">
        <v>-0.569</v>
      </c>
      <c r="F39" s="20">
        <v>1.018</v>
      </c>
      <c r="G39" s="20">
        <v>0.944</v>
      </c>
      <c r="H39" s="20">
        <v>8.156</v>
      </c>
      <c r="I39" s="20">
        <v>0.304</v>
      </c>
      <c r="J39" s="20">
        <v>-0.104</v>
      </c>
      <c r="K39" s="20">
        <v>4.564</v>
      </c>
      <c r="L39" s="20">
        <v>0.543</v>
      </c>
      <c r="M39" s="20">
        <v>-1.15</v>
      </c>
      <c r="N39" s="20">
        <v>-0.126</v>
      </c>
      <c r="O39" s="117" t="s">
        <v>193</v>
      </c>
      <c r="P39" s="117" t="s">
        <v>193</v>
      </c>
      <c r="Q39" s="117" t="s">
        <v>193</v>
      </c>
      <c r="R39" s="20">
        <v>4.179</v>
      </c>
      <c r="S39" s="117" t="s">
        <v>193</v>
      </c>
      <c r="T39" s="117" t="s">
        <v>193</v>
      </c>
      <c r="U39" s="117" t="s">
        <v>193</v>
      </c>
    </row>
    <row r="40" spans="1:21" ht="12">
      <c r="A40" s="1" t="s">
        <v>36</v>
      </c>
      <c r="B40" s="20">
        <v>0.56</v>
      </c>
      <c r="C40" s="20">
        <v>-1.437</v>
      </c>
      <c r="D40" s="20">
        <v>-0.865</v>
      </c>
      <c r="E40" s="20">
        <v>0.129</v>
      </c>
      <c r="F40" s="20">
        <v>1.139</v>
      </c>
      <c r="G40" s="20">
        <v>-2.641</v>
      </c>
      <c r="H40" s="20">
        <v>4.628</v>
      </c>
      <c r="I40" s="20">
        <v>-2.422</v>
      </c>
      <c r="J40" s="20">
        <v>-3.008</v>
      </c>
      <c r="K40" s="20">
        <v>2.811</v>
      </c>
      <c r="L40" s="20">
        <v>0.084</v>
      </c>
      <c r="M40" s="20">
        <v>-0.958</v>
      </c>
      <c r="N40" s="20">
        <v>-0.423</v>
      </c>
      <c r="O40" s="117" t="s">
        <v>193</v>
      </c>
      <c r="P40" s="117" t="s">
        <v>193</v>
      </c>
      <c r="Q40" s="117" t="s">
        <v>193</v>
      </c>
      <c r="R40" s="20">
        <v>2.62</v>
      </c>
      <c r="S40" s="117" t="s">
        <v>193</v>
      </c>
      <c r="T40" s="117" t="s">
        <v>193</v>
      </c>
      <c r="U40" s="117" t="s">
        <v>193</v>
      </c>
    </row>
    <row r="41" spans="1:21" ht="12">
      <c r="A41" s="1" t="s">
        <v>32</v>
      </c>
      <c r="B41" s="20">
        <v>2.045</v>
      </c>
      <c r="C41" s="20">
        <v>0.077</v>
      </c>
      <c r="D41" s="20">
        <v>0.539</v>
      </c>
      <c r="E41" s="20">
        <v>0.561</v>
      </c>
      <c r="F41" s="20">
        <v>1.748</v>
      </c>
      <c r="G41" s="20">
        <v>-0.255</v>
      </c>
      <c r="H41" s="20">
        <v>6.26</v>
      </c>
      <c r="I41" s="20">
        <v>-1.02</v>
      </c>
      <c r="J41" s="20">
        <v>-1.458</v>
      </c>
      <c r="K41" s="20">
        <v>4.323</v>
      </c>
      <c r="L41" s="20">
        <v>-1.097</v>
      </c>
      <c r="M41" s="20">
        <v>-2.927</v>
      </c>
      <c r="N41" s="20">
        <v>-2.065</v>
      </c>
      <c r="O41" s="117" t="s">
        <v>193</v>
      </c>
      <c r="P41" s="117" t="s">
        <v>193</v>
      </c>
      <c r="Q41" s="117" t="s">
        <v>193</v>
      </c>
      <c r="R41" s="20">
        <v>3.594</v>
      </c>
      <c r="S41" s="117" t="s">
        <v>193</v>
      </c>
      <c r="T41" s="117" t="s">
        <v>193</v>
      </c>
      <c r="U41" s="117" t="s">
        <v>193</v>
      </c>
    </row>
    <row r="42" spans="1:21" ht="12">
      <c r="A42" s="1" t="s">
        <v>33</v>
      </c>
      <c r="B42" s="20">
        <v>0.229</v>
      </c>
      <c r="C42" s="20">
        <v>-1.122</v>
      </c>
      <c r="D42" s="20">
        <v>-1.178</v>
      </c>
      <c r="E42" s="20">
        <v>-0.626</v>
      </c>
      <c r="F42" s="20">
        <v>0.725</v>
      </c>
      <c r="G42" s="20">
        <v>-2.678</v>
      </c>
      <c r="H42" s="20">
        <v>3.881</v>
      </c>
      <c r="I42" s="20">
        <v>-2.143</v>
      </c>
      <c r="J42" s="20">
        <v>-2.231</v>
      </c>
      <c r="K42" s="20">
        <v>1.934</v>
      </c>
      <c r="L42" s="20">
        <v>-0.306</v>
      </c>
      <c r="M42" s="20">
        <v>-1.414</v>
      </c>
      <c r="N42" s="20">
        <v>-1.128</v>
      </c>
      <c r="O42" s="117" t="s">
        <v>193</v>
      </c>
      <c r="P42" s="117" t="s">
        <v>193</v>
      </c>
      <c r="Q42" s="117" t="s">
        <v>193</v>
      </c>
      <c r="R42" s="20">
        <v>3.267</v>
      </c>
      <c r="S42" s="117" t="s">
        <v>193</v>
      </c>
      <c r="T42" s="117" t="s">
        <v>193</v>
      </c>
      <c r="U42" s="117" t="s">
        <v>193</v>
      </c>
    </row>
    <row r="43" spans="1:21" ht="12">
      <c r="A43" s="1" t="s">
        <v>9</v>
      </c>
      <c r="B43" s="21">
        <f aca="true" t="shared" si="4" ref="B43:R43">AVERAGE(B39:B42)</f>
        <v>1.39375</v>
      </c>
      <c r="C43" s="21">
        <f t="shared" si="4"/>
        <v>-0.41400000000000003</v>
      </c>
      <c r="D43" s="21">
        <f t="shared" si="4"/>
        <v>-0.21899999999999997</v>
      </c>
      <c r="E43" s="21">
        <f t="shared" si="4"/>
        <v>-0.12624999999999997</v>
      </c>
      <c r="F43" s="21">
        <f t="shared" si="4"/>
        <v>1.1575</v>
      </c>
      <c r="G43" s="21">
        <f t="shared" si="4"/>
        <v>-1.1575</v>
      </c>
      <c r="H43" s="21">
        <f t="shared" si="4"/>
        <v>5.73125</v>
      </c>
      <c r="I43" s="21">
        <f t="shared" si="4"/>
        <v>-1.3202500000000001</v>
      </c>
      <c r="J43" s="21">
        <f t="shared" si="4"/>
        <v>-1.70025</v>
      </c>
      <c r="K43" s="21">
        <f t="shared" si="4"/>
        <v>3.408</v>
      </c>
      <c r="L43" s="21">
        <f t="shared" si="4"/>
        <v>-0.194</v>
      </c>
      <c r="M43" s="21">
        <f t="shared" si="4"/>
        <v>-1.61225</v>
      </c>
      <c r="N43" s="21">
        <f t="shared" si="4"/>
        <v>-0.9355</v>
      </c>
      <c r="O43" s="117" t="s">
        <v>193</v>
      </c>
      <c r="P43" s="117" t="s">
        <v>193</v>
      </c>
      <c r="Q43" s="117" t="s">
        <v>193</v>
      </c>
      <c r="R43" s="21">
        <f t="shared" si="4"/>
        <v>3.415</v>
      </c>
      <c r="S43" s="117" t="s">
        <v>193</v>
      </c>
      <c r="T43" s="117" t="s">
        <v>193</v>
      </c>
      <c r="U43" s="117" t="s">
        <v>193</v>
      </c>
    </row>
    <row r="44" spans="1:21" ht="12">
      <c r="A44" s="1" t="s">
        <v>53</v>
      </c>
      <c r="B44" s="20">
        <v>-0.106</v>
      </c>
      <c r="C44" s="20">
        <v>-1.05</v>
      </c>
      <c r="D44" s="20">
        <v>-1.372</v>
      </c>
      <c r="E44" s="20">
        <v>-2.968</v>
      </c>
      <c r="F44" s="20">
        <v>-0.095</v>
      </c>
      <c r="G44" s="20">
        <v>-1.418</v>
      </c>
      <c r="H44" s="20">
        <v>3.076</v>
      </c>
      <c r="I44" s="20">
        <v>-1.813</v>
      </c>
      <c r="J44" s="20">
        <v>-1.983</v>
      </c>
      <c r="K44" s="20">
        <v>1.336</v>
      </c>
      <c r="L44" s="20">
        <v>-2.469</v>
      </c>
      <c r="M44" s="20">
        <v>-3.478</v>
      </c>
      <c r="N44" s="20">
        <v>-3.611</v>
      </c>
      <c r="O44" s="117" t="s">
        <v>193</v>
      </c>
      <c r="P44" s="117" t="s">
        <v>193</v>
      </c>
      <c r="Q44" s="117" t="s">
        <v>193</v>
      </c>
      <c r="R44" s="20">
        <v>2.064</v>
      </c>
      <c r="S44" s="117" t="s">
        <v>193</v>
      </c>
      <c r="T44" s="117" t="s">
        <v>193</v>
      </c>
      <c r="U44" s="117" t="s">
        <v>193</v>
      </c>
    </row>
    <row r="45" spans="1:21" ht="12">
      <c r="A45" s="1" t="s">
        <v>36</v>
      </c>
      <c r="B45" s="20">
        <v>-0.472</v>
      </c>
      <c r="C45" s="20">
        <v>-0.926</v>
      </c>
      <c r="D45" s="20">
        <v>-1.718</v>
      </c>
      <c r="E45" s="20">
        <v>-2.736</v>
      </c>
      <c r="F45" s="20">
        <v>-1.798</v>
      </c>
      <c r="G45" s="20">
        <v>-1.188</v>
      </c>
      <c r="H45" s="20">
        <v>2.383</v>
      </c>
      <c r="I45" s="20">
        <v>-1.455</v>
      </c>
      <c r="J45" s="20">
        <v>-1.816</v>
      </c>
      <c r="K45" s="20">
        <v>0.427</v>
      </c>
      <c r="L45" s="20">
        <v>-2.828</v>
      </c>
      <c r="M45" s="20">
        <v>-4.073</v>
      </c>
      <c r="N45" s="20">
        <v>-3.724</v>
      </c>
      <c r="O45" s="117" t="s">
        <v>193</v>
      </c>
      <c r="P45" s="117" t="s">
        <v>193</v>
      </c>
      <c r="Q45" s="117" t="s">
        <v>193</v>
      </c>
      <c r="R45" s="20">
        <v>1.118</v>
      </c>
      <c r="S45" s="117" t="s">
        <v>193</v>
      </c>
      <c r="T45" s="117" t="s">
        <v>193</v>
      </c>
      <c r="U45" s="117" t="s">
        <v>193</v>
      </c>
    </row>
    <row r="46" spans="1:21" ht="12">
      <c r="A46" s="1" t="s">
        <v>32</v>
      </c>
      <c r="B46" s="20">
        <v>-0.864</v>
      </c>
      <c r="C46" s="20">
        <v>-0.613</v>
      </c>
      <c r="D46" s="20">
        <v>-2.848</v>
      </c>
      <c r="E46" s="20">
        <v>-2.702</v>
      </c>
      <c r="F46" s="20">
        <v>-3.734</v>
      </c>
      <c r="G46" s="20">
        <v>-2.364</v>
      </c>
      <c r="H46" s="20">
        <v>3.116</v>
      </c>
      <c r="I46" s="20">
        <v>-2.562</v>
      </c>
      <c r="J46" s="20">
        <v>-2.729</v>
      </c>
      <c r="K46" s="20">
        <v>0.569</v>
      </c>
      <c r="L46" s="20">
        <v>-3.262</v>
      </c>
      <c r="M46" s="20">
        <v>-1.618</v>
      </c>
      <c r="N46" s="20">
        <v>-4.822</v>
      </c>
      <c r="O46" s="117" t="s">
        <v>193</v>
      </c>
      <c r="P46" s="117" t="s">
        <v>193</v>
      </c>
      <c r="Q46" s="117" t="s">
        <v>193</v>
      </c>
      <c r="R46" s="20">
        <v>0.321</v>
      </c>
      <c r="S46" s="117" t="s">
        <v>193</v>
      </c>
      <c r="T46" s="117" t="s">
        <v>193</v>
      </c>
      <c r="U46" s="117" t="s">
        <v>193</v>
      </c>
    </row>
    <row r="47" spans="1:21" ht="12">
      <c r="A47" s="1" t="s">
        <v>33</v>
      </c>
      <c r="B47" s="20">
        <v>-1.478</v>
      </c>
      <c r="C47" s="20">
        <v>-1.139</v>
      </c>
      <c r="D47" s="20">
        <v>-2.445</v>
      </c>
      <c r="E47" s="20">
        <v>-3.458</v>
      </c>
      <c r="F47" s="20">
        <v>-1.547</v>
      </c>
      <c r="G47" s="20">
        <v>-2.528</v>
      </c>
      <c r="H47" s="20">
        <v>0.338</v>
      </c>
      <c r="I47" s="20">
        <v>-2.505</v>
      </c>
      <c r="J47" s="20">
        <v>-3.031</v>
      </c>
      <c r="K47" s="20">
        <v>-0.499</v>
      </c>
      <c r="L47" s="20">
        <v>-1.488</v>
      </c>
      <c r="M47" s="20">
        <v>-2.191</v>
      </c>
      <c r="N47" s="20">
        <v>-2.091</v>
      </c>
      <c r="O47" s="117" t="s">
        <v>193</v>
      </c>
      <c r="P47" s="117" t="s">
        <v>193</v>
      </c>
      <c r="Q47" s="117" t="s">
        <v>193</v>
      </c>
      <c r="R47" s="20">
        <v>1.053</v>
      </c>
      <c r="S47" s="117" t="s">
        <v>193</v>
      </c>
      <c r="T47" s="117" t="s">
        <v>193</v>
      </c>
      <c r="U47" s="117" t="s">
        <v>193</v>
      </c>
    </row>
    <row r="48" spans="1:21" ht="12">
      <c r="A48" s="1" t="s">
        <v>9</v>
      </c>
      <c r="B48" s="21">
        <f aca="true" t="shared" si="5" ref="B48:U48">AVERAGE(B44:B47)</f>
        <v>-0.73</v>
      </c>
      <c r="C48" s="21">
        <f t="shared" si="5"/>
        <v>-0.9319999999999999</v>
      </c>
      <c r="D48" s="21">
        <f t="shared" si="5"/>
        <v>-2.09575</v>
      </c>
      <c r="E48" s="21">
        <f t="shared" si="5"/>
        <v>-2.966</v>
      </c>
      <c r="F48" s="21">
        <f t="shared" si="5"/>
        <v>-1.7934999999999999</v>
      </c>
      <c r="G48" s="21">
        <f t="shared" si="5"/>
        <v>-1.8744999999999998</v>
      </c>
      <c r="H48" s="21">
        <f t="shared" si="5"/>
        <v>2.2282499999999996</v>
      </c>
      <c r="I48" s="21">
        <f t="shared" si="5"/>
        <v>-2.08375</v>
      </c>
      <c r="J48" s="21">
        <f t="shared" si="5"/>
        <v>-2.3897500000000003</v>
      </c>
      <c r="K48" s="21">
        <f t="shared" si="5"/>
        <v>0.45824999999999994</v>
      </c>
      <c r="L48" s="21">
        <f t="shared" si="5"/>
        <v>-2.5117499999999997</v>
      </c>
      <c r="M48" s="21">
        <f t="shared" si="5"/>
        <v>-2.84</v>
      </c>
      <c r="N48" s="21">
        <f t="shared" si="5"/>
        <v>-3.5620000000000003</v>
      </c>
      <c r="O48" s="21" t="e">
        <f t="shared" si="5"/>
        <v>#DIV/0!</v>
      </c>
      <c r="P48" s="21" t="e">
        <f t="shared" si="5"/>
        <v>#DIV/0!</v>
      </c>
      <c r="Q48" s="21" t="e">
        <f t="shared" si="5"/>
        <v>#DIV/0!</v>
      </c>
      <c r="R48" s="21">
        <f t="shared" si="5"/>
        <v>1.1390000000000002</v>
      </c>
      <c r="S48" s="21" t="e">
        <f t="shared" si="5"/>
        <v>#DIV/0!</v>
      </c>
      <c r="T48" s="21" t="e">
        <f t="shared" si="5"/>
        <v>#DIV/0!</v>
      </c>
      <c r="U48" s="21" t="e">
        <f t="shared" si="5"/>
        <v>#DIV/0!</v>
      </c>
    </row>
    <row r="49" spans="1:21" ht="12">
      <c r="A49" s="1" t="s">
        <v>64</v>
      </c>
      <c r="B49" s="20">
        <v>-2.744</v>
      </c>
      <c r="C49" s="20">
        <v>-2.552</v>
      </c>
      <c r="D49" s="20">
        <v>-3.555</v>
      </c>
      <c r="E49" s="20">
        <v>-5.152</v>
      </c>
      <c r="F49" s="20">
        <v>-3.207</v>
      </c>
      <c r="G49" s="20">
        <v>-3.038</v>
      </c>
      <c r="H49" s="20">
        <v>-1.118</v>
      </c>
      <c r="I49" s="117" t="s">
        <v>193</v>
      </c>
      <c r="J49" s="117" t="s">
        <v>193</v>
      </c>
      <c r="K49" s="117" t="s">
        <v>193</v>
      </c>
      <c r="L49" s="20">
        <v>-5.053</v>
      </c>
      <c r="M49" s="20">
        <v>-3.494</v>
      </c>
      <c r="N49" s="20">
        <v>-6.414</v>
      </c>
      <c r="O49" s="117" t="s">
        <v>193</v>
      </c>
      <c r="P49" s="117" t="s">
        <v>193</v>
      </c>
      <c r="Q49" s="117" t="s">
        <v>193</v>
      </c>
      <c r="R49" s="20">
        <v>-1.012</v>
      </c>
      <c r="S49" s="117" t="s">
        <v>193</v>
      </c>
      <c r="T49" s="117" t="s">
        <v>193</v>
      </c>
      <c r="U49" s="117" t="s">
        <v>193</v>
      </c>
    </row>
    <row r="50" spans="1:21" ht="12">
      <c r="A50" s="1" t="s">
        <v>36</v>
      </c>
      <c r="B50" s="20">
        <v>-2.946</v>
      </c>
      <c r="C50" s="20">
        <v>-2.639</v>
      </c>
      <c r="D50" s="20">
        <v>-5.187</v>
      </c>
      <c r="E50" s="20">
        <v>-6.141</v>
      </c>
      <c r="F50" s="20">
        <v>-4.997</v>
      </c>
      <c r="G50" s="20">
        <v>-4.843</v>
      </c>
      <c r="H50" s="20">
        <v>1.576</v>
      </c>
      <c r="I50" s="117" t="s">
        <v>193</v>
      </c>
      <c r="J50" s="117" t="s">
        <v>193</v>
      </c>
      <c r="K50" s="117" t="s">
        <v>193</v>
      </c>
      <c r="L50" s="20">
        <v>-3.758</v>
      </c>
      <c r="M50" s="20">
        <v>-3.967</v>
      </c>
      <c r="N50" s="20">
        <v>-4.721</v>
      </c>
      <c r="O50" s="117" t="s">
        <v>193</v>
      </c>
      <c r="P50" s="117" t="s">
        <v>193</v>
      </c>
      <c r="Q50" s="117" t="s">
        <v>193</v>
      </c>
      <c r="R50" s="20">
        <v>0.031</v>
      </c>
      <c r="S50" s="117" t="s">
        <v>193</v>
      </c>
      <c r="T50" s="117" t="s">
        <v>193</v>
      </c>
      <c r="U50" s="117" t="s">
        <v>193</v>
      </c>
    </row>
    <row r="51" spans="1:21" ht="12">
      <c r="A51" s="1" t="s">
        <v>32</v>
      </c>
      <c r="B51" s="20">
        <v>-3.848</v>
      </c>
      <c r="C51" s="20">
        <v>-3.849</v>
      </c>
      <c r="D51" s="20">
        <v>-5.695</v>
      </c>
      <c r="E51" s="20">
        <v>-8.529</v>
      </c>
      <c r="F51" s="20">
        <v>-4.885</v>
      </c>
      <c r="G51" s="20">
        <v>-4.809</v>
      </c>
      <c r="H51" s="20">
        <v>0.098</v>
      </c>
      <c r="I51" s="117" t="s">
        <v>193</v>
      </c>
      <c r="J51" s="117" t="s">
        <v>193</v>
      </c>
      <c r="K51" s="117" t="s">
        <v>193</v>
      </c>
      <c r="L51" s="20">
        <v>-4.752</v>
      </c>
      <c r="M51" s="20">
        <v>-5.911</v>
      </c>
      <c r="N51" s="20">
        <v>-5.343</v>
      </c>
      <c r="O51" s="117" t="s">
        <v>193</v>
      </c>
      <c r="P51" s="117" t="s">
        <v>193</v>
      </c>
      <c r="Q51" s="117" t="s">
        <v>193</v>
      </c>
      <c r="R51" s="20">
        <v>-1.675</v>
      </c>
      <c r="S51" s="117" t="s">
        <v>193</v>
      </c>
      <c r="T51" s="117" t="s">
        <v>193</v>
      </c>
      <c r="U51" s="117" t="s">
        <v>193</v>
      </c>
    </row>
    <row r="52" spans="1:21" ht="12">
      <c r="A52" s="1" t="s">
        <v>33</v>
      </c>
      <c r="B52" s="20">
        <v>-2.187</v>
      </c>
      <c r="C52" s="20">
        <v>-2.242</v>
      </c>
      <c r="D52" s="20">
        <v>-3.718</v>
      </c>
      <c r="E52" s="20">
        <v>-4.241</v>
      </c>
      <c r="F52" s="20">
        <v>-4.178</v>
      </c>
      <c r="G52" s="20">
        <v>-3.248</v>
      </c>
      <c r="H52" s="20">
        <v>1.108</v>
      </c>
      <c r="I52" s="117" t="s">
        <v>193</v>
      </c>
      <c r="J52" s="117" t="s">
        <v>193</v>
      </c>
      <c r="K52" s="117" t="s">
        <v>193</v>
      </c>
      <c r="L52" s="20">
        <v>-3.799</v>
      </c>
      <c r="M52" s="20">
        <v>-4.191</v>
      </c>
      <c r="N52" s="20">
        <v>-4.532</v>
      </c>
      <c r="O52" s="117" t="s">
        <v>193</v>
      </c>
      <c r="P52" s="117" t="s">
        <v>193</v>
      </c>
      <c r="Q52" s="117" t="s">
        <v>193</v>
      </c>
      <c r="R52" s="20">
        <v>-0.743</v>
      </c>
      <c r="S52" s="117" t="s">
        <v>193</v>
      </c>
      <c r="T52" s="117" t="s">
        <v>193</v>
      </c>
      <c r="U52" s="117" t="s">
        <v>193</v>
      </c>
    </row>
    <row r="53" spans="1:21" ht="12">
      <c r="A53" s="1" t="s">
        <v>9</v>
      </c>
      <c r="B53" s="21">
        <f aca="true" t="shared" si="6" ref="B53:R53">AVERAGE(B49:B52)</f>
        <v>-2.93125</v>
      </c>
      <c r="C53" s="21">
        <f t="shared" si="6"/>
        <v>-2.8205</v>
      </c>
      <c r="D53" s="21">
        <f t="shared" si="6"/>
        <v>-4.53875</v>
      </c>
      <c r="E53" s="21">
        <f t="shared" si="6"/>
        <v>-6.01575</v>
      </c>
      <c r="F53" s="21">
        <f t="shared" si="6"/>
        <v>-4.31675</v>
      </c>
      <c r="G53" s="21">
        <f t="shared" si="6"/>
        <v>-3.9845000000000006</v>
      </c>
      <c r="H53" s="21">
        <f t="shared" si="6"/>
        <v>0.41600000000000004</v>
      </c>
      <c r="I53" s="117" t="s">
        <v>193</v>
      </c>
      <c r="J53" s="117" t="s">
        <v>193</v>
      </c>
      <c r="K53" s="117" t="s">
        <v>193</v>
      </c>
      <c r="L53" s="21">
        <f t="shared" si="6"/>
        <v>-4.3405</v>
      </c>
      <c r="M53" s="21">
        <f t="shared" si="6"/>
        <v>-4.39075</v>
      </c>
      <c r="N53" s="21">
        <f t="shared" si="6"/>
        <v>-5.2525</v>
      </c>
      <c r="O53" s="117" t="s">
        <v>193</v>
      </c>
      <c r="P53" s="117" t="s">
        <v>193</v>
      </c>
      <c r="Q53" s="117" t="s">
        <v>193</v>
      </c>
      <c r="R53" s="21">
        <f t="shared" si="6"/>
        <v>-0.84975</v>
      </c>
      <c r="S53" s="117" t="s">
        <v>193</v>
      </c>
      <c r="T53" s="117" t="s">
        <v>193</v>
      </c>
      <c r="U53" s="117" t="s">
        <v>193</v>
      </c>
    </row>
    <row r="54" spans="1:21" ht="12">
      <c r="A54" s="1" t="s">
        <v>67</v>
      </c>
      <c r="B54" s="20">
        <v>-0.841</v>
      </c>
      <c r="C54" s="20">
        <v>-1.759</v>
      </c>
      <c r="D54" s="20">
        <v>-2.264</v>
      </c>
      <c r="E54" s="20">
        <v>-0.913</v>
      </c>
      <c r="F54" s="20">
        <v>-2.462</v>
      </c>
      <c r="G54" s="20">
        <v>-3.056</v>
      </c>
      <c r="H54" s="20">
        <v>2.601</v>
      </c>
      <c r="I54" s="117" t="s">
        <v>193</v>
      </c>
      <c r="J54" s="117" t="s">
        <v>193</v>
      </c>
      <c r="K54" s="117" t="s">
        <v>193</v>
      </c>
      <c r="L54" s="20">
        <v>-2.523</v>
      </c>
      <c r="M54" s="20">
        <v>-1.773</v>
      </c>
      <c r="N54" s="20">
        <v>-3.277</v>
      </c>
      <c r="O54" s="117" t="s">
        <v>193</v>
      </c>
      <c r="P54" s="117" t="s">
        <v>193</v>
      </c>
      <c r="Q54" s="117" t="s">
        <v>193</v>
      </c>
      <c r="R54" s="20">
        <v>-0.598</v>
      </c>
      <c r="S54" s="117" t="s">
        <v>193</v>
      </c>
      <c r="T54" s="117" t="s">
        <v>193</v>
      </c>
      <c r="U54" s="117" t="s">
        <v>193</v>
      </c>
    </row>
    <row r="55" spans="1:21" ht="12">
      <c r="A55" s="1" t="s">
        <v>36</v>
      </c>
      <c r="B55" s="20">
        <v>-1.005</v>
      </c>
      <c r="C55" s="20">
        <v>-2.124</v>
      </c>
      <c r="D55" s="20">
        <v>-1.943</v>
      </c>
      <c r="E55" s="20">
        <v>-3.976</v>
      </c>
      <c r="F55" s="20">
        <v>-1.156</v>
      </c>
      <c r="G55" s="20">
        <v>-1.024</v>
      </c>
      <c r="H55" s="20">
        <v>1.481</v>
      </c>
      <c r="I55" s="117" t="s">
        <v>193</v>
      </c>
      <c r="J55" s="117" t="s">
        <v>193</v>
      </c>
      <c r="K55" s="117" t="s">
        <v>193</v>
      </c>
      <c r="L55" s="20">
        <v>-3.098</v>
      </c>
      <c r="M55" s="20">
        <v>-2.885</v>
      </c>
      <c r="N55" s="20">
        <v>-4.196</v>
      </c>
      <c r="O55" s="117" t="s">
        <v>193</v>
      </c>
      <c r="P55" s="117" t="s">
        <v>193</v>
      </c>
      <c r="Q55" s="117" t="s">
        <v>193</v>
      </c>
      <c r="R55" s="20">
        <v>0.474</v>
      </c>
      <c r="S55" s="117" t="s">
        <v>193</v>
      </c>
      <c r="T55" s="117" t="s">
        <v>193</v>
      </c>
      <c r="U55" s="117" t="s">
        <v>193</v>
      </c>
    </row>
    <row r="56" spans="1:21" ht="12">
      <c r="A56" s="1" t="s">
        <v>32</v>
      </c>
      <c r="B56" s="20">
        <v>-0.736</v>
      </c>
      <c r="C56" s="20">
        <v>-1.591</v>
      </c>
      <c r="D56" s="20">
        <v>-1.652</v>
      </c>
      <c r="E56" s="20">
        <v>-1.458</v>
      </c>
      <c r="F56" s="20">
        <v>-1.476</v>
      </c>
      <c r="G56" s="20">
        <v>-1.861</v>
      </c>
      <c r="H56" s="20">
        <v>1.302</v>
      </c>
      <c r="I56" s="117" t="s">
        <v>193</v>
      </c>
      <c r="J56" s="117" t="s">
        <v>193</v>
      </c>
      <c r="K56" s="117" t="s">
        <v>193</v>
      </c>
      <c r="L56" s="20">
        <v>-3.008</v>
      </c>
      <c r="M56" s="20">
        <v>-4.542</v>
      </c>
      <c r="N56" s="20">
        <v>-3.524</v>
      </c>
      <c r="O56" s="117" t="s">
        <v>193</v>
      </c>
      <c r="P56" s="117" t="s">
        <v>193</v>
      </c>
      <c r="Q56" s="117" t="s">
        <v>193</v>
      </c>
      <c r="R56" s="20">
        <v>-0.101</v>
      </c>
      <c r="S56" s="117" t="s">
        <v>193</v>
      </c>
      <c r="T56" s="117" t="s">
        <v>193</v>
      </c>
      <c r="U56" s="117" t="s">
        <v>193</v>
      </c>
    </row>
    <row r="57" spans="1:21" ht="12">
      <c r="A57" s="1" t="s">
        <v>33</v>
      </c>
      <c r="B57" s="20">
        <v>-0.301</v>
      </c>
      <c r="C57" s="20">
        <v>-1.071</v>
      </c>
      <c r="D57" s="20">
        <v>-1.621</v>
      </c>
      <c r="E57" s="20">
        <v>-1.994</v>
      </c>
      <c r="F57" s="20">
        <v>-2.038</v>
      </c>
      <c r="G57" s="20">
        <v>-1.172</v>
      </c>
      <c r="H57" s="20">
        <v>2.464</v>
      </c>
      <c r="I57" s="117" t="s">
        <v>193</v>
      </c>
      <c r="J57" s="117" t="s">
        <v>193</v>
      </c>
      <c r="K57" s="117" t="s">
        <v>193</v>
      </c>
      <c r="L57" s="20">
        <v>-1.925</v>
      </c>
      <c r="M57" s="20">
        <v>-2.92</v>
      </c>
      <c r="N57" s="20">
        <v>-2.531</v>
      </c>
      <c r="O57" s="117" t="s">
        <v>193</v>
      </c>
      <c r="P57" s="117" t="s">
        <v>193</v>
      </c>
      <c r="Q57" s="117" t="s">
        <v>193</v>
      </c>
      <c r="R57" s="20">
        <v>0.74</v>
      </c>
      <c r="S57" s="117" t="s">
        <v>193</v>
      </c>
      <c r="T57" s="117" t="s">
        <v>193</v>
      </c>
      <c r="U57" s="117" t="s">
        <v>193</v>
      </c>
    </row>
    <row r="58" spans="1:21" ht="12">
      <c r="A58" s="1" t="s">
        <v>9</v>
      </c>
      <c r="B58" s="21">
        <f aca="true" t="shared" si="7" ref="B58:R58">AVERAGE(B54:B57)</f>
        <v>-0.72075</v>
      </c>
      <c r="C58" s="21">
        <f t="shared" si="7"/>
        <v>-1.63625</v>
      </c>
      <c r="D58" s="21">
        <f t="shared" si="7"/>
        <v>-1.87</v>
      </c>
      <c r="E58" s="21">
        <f t="shared" si="7"/>
        <v>-2.0852500000000003</v>
      </c>
      <c r="F58" s="21">
        <f t="shared" si="7"/>
        <v>-1.783</v>
      </c>
      <c r="G58" s="21">
        <f t="shared" si="7"/>
        <v>-1.7782499999999999</v>
      </c>
      <c r="H58" s="21">
        <f t="shared" si="7"/>
        <v>1.9620000000000002</v>
      </c>
      <c r="I58" s="117" t="s">
        <v>193</v>
      </c>
      <c r="J58" s="117" t="s">
        <v>193</v>
      </c>
      <c r="K58" s="117" t="s">
        <v>193</v>
      </c>
      <c r="L58" s="21">
        <f t="shared" si="7"/>
        <v>-2.6385000000000005</v>
      </c>
      <c r="M58" s="21">
        <f t="shared" si="7"/>
        <v>-3.03</v>
      </c>
      <c r="N58" s="21">
        <f t="shared" si="7"/>
        <v>-3.382</v>
      </c>
      <c r="O58" s="117" t="s">
        <v>193</v>
      </c>
      <c r="P58" s="117" t="s">
        <v>193</v>
      </c>
      <c r="Q58" s="117" t="s">
        <v>193</v>
      </c>
      <c r="R58" s="21">
        <f t="shared" si="7"/>
        <v>0.12875</v>
      </c>
      <c r="S58" s="117" t="s">
        <v>193</v>
      </c>
      <c r="T58" s="117" t="s">
        <v>193</v>
      </c>
      <c r="U58" s="117" t="s">
        <v>193</v>
      </c>
    </row>
    <row r="59" spans="1:21" ht="12">
      <c r="A59" s="1" t="s">
        <v>104</v>
      </c>
      <c r="B59" s="20">
        <v>-0.248</v>
      </c>
      <c r="C59" s="20">
        <v>-0.976</v>
      </c>
      <c r="D59" s="20">
        <v>-0.655</v>
      </c>
      <c r="E59" s="20">
        <v>-1.031</v>
      </c>
      <c r="F59" s="20">
        <v>-0.443</v>
      </c>
      <c r="G59" s="20">
        <v>-0.554</v>
      </c>
      <c r="H59" s="20">
        <v>1.015</v>
      </c>
      <c r="I59" s="117" t="s">
        <v>193</v>
      </c>
      <c r="J59" s="117" t="s">
        <v>193</v>
      </c>
      <c r="K59" s="117" t="s">
        <v>193</v>
      </c>
      <c r="L59" s="20">
        <v>-1.883</v>
      </c>
      <c r="M59" s="20">
        <v>-1.092</v>
      </c>
      <c r="N59" s="20">
        <v>-2.184</v>
      </c>
      <c r="O59" s="117" t="s">
        <v>193</v>
      </c>
      <c r="P59" s="117" t="s">
        <v>193</v>
      </c>
      <c r="Q59" s="117" t="s">
        <v>193</v>
      </c>
      <c r="R59" s="20">
        <v>-1.714</v>
      </c>
      <c r="S59" s="117" t="s">
        <v>193</v>
      </c>
      <c r="T59" s="117" t="s">
        <v>193</v>
      </c>
      <c r="U59" s="117" t="s">
        <v>193</v>
      </c>
    </row>
    <row r="60" spans="1:21" ht="12">
      <c r="A60" s="1" t="s">
        <v>36</v>
      </c>
      <c r="B60" s="20">
        <v>-0.661</v>
      </c>
      <c r="C60" s="20">
        <v>-1.208</v>
      </c>
      <c r="D60" s="20">
        <v>-1.091</v>
      </c>
      <c r="E60" s="20">
        <v>-1.308</v>
      </c>
      <c r="F60" s="20">
        <v>-0.477</v>
      </c>
      <c r="G60" s="20">
        <v>-1.323</v>
      </c>
      <c r="H60" s="20">
        <v>0.561</v>
      </c>
      <c r="I60" s="117" t="s">
        <v>193</v>
      </c>
      <c r="J60" s="117" t="s">
        <v>193</v>
      </c>
      <c r="K60" s="117" t="s">
        <v>193</v>
      </c>
      <c r="L60" s="20">
        <v>-1.494</v>
      </c>
      <c r="M60" s="20">
        <v>-1.596</v>
      </c>
      <c r="N60" s="20">
        <v>-2.172</v>
      </c>
      <c r="O60" s="117" t="s">
        <v>193</v>
      </c>
      <c r="P60" s="117" t="s">
        <v>193</v>
      </c>
      <c r="Q60" s="117" t="s">
        <v>193</v>
      </c>
      <c r="R60" s="20">
        <v>0.652</v>
      </c>
      <c r="S60" s="117" t="s">
        <v>193</v>
      </c>
      <c r="T60" s="117" t="s">
        <v>193</v>
      </c>
      <c r="U60" s="117" t="s">
        <v>193</v>
      </c>
    </row>
    <row r="61" spans="1:21" ht="12">
      <c r="A61" s="1" t="s">
        <v>32</v>
      </c>
      <c r="B61" s="20">
        <v>-2.122</v>
      </c>
      <c r="C61" s="20">
        <v>-2.159</v>
      </c>
      <c r="D61" s="20">
        <v>-3.61</v>
      </c>
      <c r="E61" s="20">
        <v>-6.06</v>
      </c>
      <c r="F61" s="20">
        <v>-3.297</v>
      </c>
      <c r="G61" s="20">
        <v>-2.314</v>
      </c>
      <c r="H61" s="20">
        <v>1.135</v>
      </c>
      <c r="I61" s="117" t="s">
        <v>193</v>
      </c>
      <c r="J61" s="117" t="s">
        <v>193</v>
      </c>
      <c r="K61" s="117" t="s">
        <v>193</v>
      </c>
      <c r="L61" s="20">
        <v>-3.128</v>
      </c>
      <c r="M61" s="20">
        <v>-3.723</v>
      </c>
      <c r="N61" s="20">
        <v>-3.873</v>
      </c>
      <c r="O61" s="117" t="s">
        <v>193</v>
      </c>
      <c r="P61" s="117" t="s">
        <v>193</v>
      </c>
      <c r="Q61" s="117" t="s">
        <v>193</v>
      </c>
      <c r="R61" s="20">
        <v>-0.32</v>
      </c>
      <c r="S61" s="117" t="s">
        <v>193</v>
      </c>
      <c r="T61" s="117" t="s">
        <v>193</v>
      </c>
      <c r="U61" s="117" t="s">
        <v>193</v>
      </c>
    </row>
    <row r="62" spans="1:21" ht="12">
      <c r="A62" s="1" t="s">
        <v>33</v>
      </c>
      <c r="B62" s="20">
        <v>-3.464</v>
      </c>
      <c r="C62" s="20">
        <v>-3.003</v>
      </c>
      <c r="D62" s="20">
        <v>-5.424</v>
      </c>
      <c r="E62" s="20">
        <v>-7.103</v>
      </c>
      <c r="F62" s="20">
        <v>-5.716</v>
      </c>
      <c r="G62" s="20">
        <v>-4.237</v>
      </c>
      <c r="H62" s="20">
        <v>0.564</v>
      </c>
      <c r="I62" s="117" t="s">
        <v>193</v>
      </c>
      <c r="J62" s="117" t="s">
        <v>193</v>
      </c>
      <c r="K62" s="117" t="s">
        <v>193</v>
      </c>
      <c r="L62" s="20">
        <v>-4.104</v>
      </c>
      <c r="M62" s="20">
        <v>-3.626</v>
      </c>
      <c r="N62" s="20">
        <v>-5.569</v>
      </c>
      <c r="O62" s="117" t="s">
        <v>193</v>
      </c>
      <c r="P62" s="117" t="s">
        <v>193</v>
      </c>
      <c r="Q62" s="117" t="s">
        <v>193</v>
      </c>
      <c r="R62" s="20">
        <v>-0.12</v>
      </c>
      <c r="S62" s="117" t="s">
        <v>193</v>
      </c>
      <c r="T62" s="117" t="s">
        <v>193</v>
      </c>
      <c r="U62" s="117" t="s">
        <v>193</v>
      </c>
    </row>
    <row r="63" spans="1:21" ht="12">
      <c r="A63" s="1" t="s">
        <v>9</v>
      </c>
      <c r="B63" s="21">
        <f aca="true" t="shared" si="8" ref="B63:R63">AVERAGE(B59:B62)</f>
        <v>-1.6237499999999998</v>
      </c>
      <c r="C63" s="21">
        <f t="shared" si="8"/>
        <v>-1.8365</v>
      </c>
      <c r="D63" s="21">
        <f t="shared" si="8"/>
        <v>-2.6950000000000003</v>
      </c>
      <c r="E63" s="21">
        <f t="shared" si="8"/>
        <v>-3.8754999999999997</v>
      </c>
      <c r="F63" s="21">
        <f t="shared" si="8"/>
        <v>-2.48325</v>
      </c>
      <c r="G63" s="21">
        <f t="shared" si="8"/>
        <v>-2.107</v>
      </c>
      <c r="H63" s="21">
        <f t="shared" si="8"/>
        <v>0.8187500000000001</v>
      </c>
      <c r="I63" s="117" t="s">
        <v>193</v>
      </c>
      <c r="J63" s="117" t="s">
        <v>193</v>
      </c>
      <c r="K63" s="117" t="s">
        <v>193</v>
      </c>
      <c r="L63" s="21">
        <f t="shared" si="8"/>
        <v>-2.65225</v>
      </c>
      <c r="M63" s="21">
        <f t="shared" si="8"/>
        <v>-2.5092499999999998</v>
      </c>
      <c r="N63" s="21">
        <f t="shared" si="8"/>
        <v>-3.4494999999999996</v>
      </c>
      <c r="O63" s="117" t="s">
        <v>193</v>
      </c>
      <c r="P63" s="117" t="s">
        <v>193</v>
      </c>
      <c r="Q63" s="117" t="s">
        <v>193</v>
      </c>
      <c r="R63" s="21">
        <f t="shared" si="8"/>
        <v>-0.37549999999999994</v>
      </c>
      <c r="S63" s="117" t="s">
        <v>193</v>
      </c>
      <c r="T63" s="117" t="s">
        <v>193</v>
      </c>
      <c r="U63" s="117" t="s">
        <v>193</v>
      </c>
    </row>
    <row r="64" spans="1:21" ht="12">
      <c r="A64" s="1" t="s">
        <v>194</v>
      </c>
      <c r="B64" s="20">
        <v>-4.072</v>
      </c>
      <c r="C64" s="20">
        <v>-4.528</v>
      </c>
      <c r="D64" s="20">
        <v>-5.471</v>
      </c>
      <c r="E64" s="20">
        <v>-7.322</v>
      </c>
      <c r="F64" s="20">
        <v>-4.767</v>
      </c>
      <c r="G64" s="20">
        <v>-4.702</v>
      </c>
      <c r="H64" s="20">
        <v>1.746</v>
      </c>
      <c r="I64" s="117" t="s">
        <v>193</v>
      </c>
      <c r="J64" s="117" t="s">
        <v>193</v>
      </c>
      <c r="K64" s="117" t="s">
        <v>193</v>
      </c>
      <c r="L64" s="20">
        <v>-6.301</v>
      </c>
      <c r="M64" s="20">
        <v>-3.868</v>
      </c>
      <c r="N64" s="20">
        <v>-8.196</v>
      </c>
      <c r="O64" s="117" t="s">
        <v>193</v>
      </c>
      <c r="P64" s="117" t="s">
        <v>193</v>
      </c>
      <c r="Q64" s="117" t="s">
        <v>193</v>
      </c>
      <c r="R64" s="20">
        <v>-0.48</v>
      </c>
      <c r="S64" s="117" t="s">
        <v>193</v>
      </c>
      <c r="T64" s="117" t="s">
        <v>193</v>
      </c>
      <c r="U64" s="117" t="s">
        <v>193</v>
      </c>
    </row>
    <row r="65" spans="1:21" ht="12">
      <c r="A65" s="1" t="s">
        <v>278</v>
      </c>
      <c r="B65" s="20">
        <v>-5.253</v>
      </c>
      <c r="C65" s="20">
        <v>-4.756</v>
      </c>
      <c r="D65" s="20">
        <v>-6.777</v>
      </c>
      <c r="E65" s="20">
        <v>-9.034</v>
      </c>
      <c r="F65" s="20">
        <v>-6.81</v>
      </c>
      <c r="G65" s="20">
        <v>-5.529</v>
      </c>
      <c r="H65" s="20">
        <v>-0.077</v>
      </c>
      <c r="I65" s="117" t="s">
        <v>193</v>
      </c>
      <c r="J65" s="117" t="s">
        <v>193</v>
      </c>
      <c r="K65" s="117" t="s">
        <v>193</v>
      </c>
      <c r="L65" s="20">
        <v>-7.455</v>
      </c>
      <c r="M65" s="20">
        <v>-4.173</v>
      </c>
      <c r="N65" s="20">
        <v>-9.763</v>
      </c>
      <c r="O65" s="117" t="s">
        <v>193</v>
      </c>
      <c r="P65" s="117" t="s">
        <v>193</v>
      </c>
      <c r="Q65" s="117" t="s">
        <v>193</v>
      </c>
      <c r="R65" s="20">
        <v>-0.901</v>
      </c>
      <c r="S65" s="117" t="s">
        <v>193</v>
      </c>
      <c r="T65" s="117" t="s">
        <v>193</v>
      </c>
      <c r="U65" s="117" t="s">
        <v>193</v>
      </c>
    </row>
    <row r="66" spans="1:21" ht="12">
      <c r="A66" s="1" t="s">
        <v>279</v>
      </c>
      <c r="B66" s="20">
        <v>-6.16</v>
      </c>
      <c r="C66" s="20">
        <v>-7.454</v>
      </c>
      <c r="D66" s="20">
        <v>-7.004</v>
      </c>
      <c r="E66" s="20">
        <v>-7.116</v>
      </c>
      <c r="F66" s="20">
        <v>-6.198</v>
      </c>
      <c r="G66" s="20">
        <v>-7.225</v>
      </c>
      <c r="H66" s="20">
        <v>-1.599</v>
      </c>
      <c r="I66" s="117" t="s">
        <v>193</v>
      </c>
      <c r="J66" s="117" t="s">
        <v>193</v>
      </c>
      <c r="K66" s="117" t="s">
        <v>193</v>
      </c>
      <c r="L66" s="20">
        <v>-8.32</v>
      </c>
      <c r="M66" s="20">
        <v>-6.339</v>
      </c>
      <c r="N66" s="20">
        <v>-10.271</v>
      </c>
      <c r="O66" s="117" t="s">
        <v>193</v>
      </c>
      <c r="P66" s="117" t="s">
        <v>193</v>
      </c>
      <c r="Q66" s="117" t="s">
        <v>193</v>
      </c>
      <c r="R66" s="20">
        <v>-1.454</v>
      </c>
      <c r="S66" s="117" t="s">
        <v>193</v>
      </c>
      <c r="T66" s="117" t="s">
        <v>193</v>
      </c>
      <c r="U66" s="117" t="s">
        <v>193</v>
      </c>
    </row>
    <row r="67" spans="1:21" ht="12">
      <c r="A67" s="1" t="s">
        <v>284</v>
      </c>
      <c r="B67" s="20">
        <v>-7.354</v>
      </c>
      <c r="C67" s="20">
        <v>-7.674</v>
      </c>
      <c r="D67" s="20">
        <v>-9.19</v>
      </c>
      <c r="E67" s="20">
        <v>-10.951</v>
      </c>
      <c r="F67" s="20">
        <v>-8.449</v>
      </c>
      <c r="G67" s="20">
        <v>-8.476</v>
      </c>
      <c r="H67" s="20">
        <v>-0.265</v>
      </c>
      <c r="I67" s="117" t="s">
        <v>193</v>
      </c>
      <c r="J67" s="117" t="s">
        <v>193</v>
      </c>
      <c r="K67" s="117" t="s">
        <v>193</v>
      </c>
      <c r="L67" s="20">
        <v>-8.374</v>
      </c>
      <c r="M67" s="20">
        <v>-7.269</v>
      </c>
      <c r="N67" s="20">
        <v>-10.306</v>
      </c>
      <c r="O67" s="117" t="s">
        <v>193</v>
      </c>
      <c r="P67" s="117" t="s">
        <v>193</v>
      </c>
      <c r="Q67" s="117" t="s">
        <v>193</v>
      </c>
      <c r="R67" s="20">
        <v>-0.136</v>
      </c>
      <c r="S67" s="117" t="s">
        <v>193</v>
      </c>
      <c r="T67" s="117" t="s">
        <v>193</v>
      </c>
      <c r="U67" s="117" t="s">
        <v>193</v>
      </c>
    </row>
    <row r="68" spans="1:21" ht="12">
      <c r="A68" s="1" t="s">
        <v>9</v>
      </c>
      <c r="B68" s="21">
        <f aca="true" t="shared" si="9" ref="B68:R68">AVERAGE(B64:B67)</f>
        <v>-5.70975</v>
      </c>
      <c r="C68" s="21">
        <f t="shared" si="9"/>
        <v>-6.103</v>
      </c>
      <c r="D68" s="21">
        <f t="shared" si="9"/>
        <v>-7.1105</v>
      </c>
      <c r="E68" s="21">
        <f t="shared" si="9"/>
        <v>-8.60575</v>
      </c>
      <c r="F68" s="21">
        <f t="shared" si="9"/>
        <v>-6.555999999999999</v>
      </c>
      <c r="G68" s="21">
        <f t="shared" si="9"/>
        <v>-6.4830000000000005</v>
      </c>
      <c r="H68" s="21">
        <f t="shared" si="9"/>
        <v>-0.04874999999999999</v>
      </c>
      <c r="I68" s="117" t="s">
        <v>193</v>
      </c>
      <c r="J68" s="117" t="s">
        <v>193</v>
      </c>
      <c r="K68" s="117" t="s">
        <v>193</v>
      </c>
      <c r="L68" s="21">
        <f t="shared" si="9"/>
        <v>-7.612500000000001</v>
      </c>
      <c r="M68" s="21">
        <f t="shared" si="9"/>
        <v>-5.41225</v>
      </c>
      <c r="N68" s="21">
        <f t="shared" si="9"/>
        <v>-9.634</v>
      </c>
      <c r="O68" s="117" t="s">
        <v>193</v>
      </c>
      <c r="P68" s="117" t="s">
        <v>193</v>
      </c>
      <c r="Q68" s="117" t="s">
        <v>193</v>
      </c>
      <c r="R68" s="21">
        <f t="shared" si="9"/>
        <v>-0.74275</v>
      </c>
      <c r="S68" s="117" t="s">
        <v>193</v>
      </c>
      <c r="T68" s="117" t="s">
        <v>193</v>
      </c>
      <c r="U68" s="117" t="s">
        <v>193</v>
      </c>
    </row>
    <row r="69" spans="1:21" ht="12">
      <c r="A69" s="1" t="s">
        <v>198</v>
      </c>
      <c r="B69" s="20">
        <v>-7.936</v>
      </c>
      <c r="C69" s="20">
        <v>-7.634</v>
      </c>
      <c r="D69" s="20">
        <v>-9.628</v>
      </c>
      <c r="E69" s="20">
        <v>-10.688</v>
      </c>
      <c r="F69" s="20">
        <v>-8.282</v>
      </c>
      <c r="G69" s="20">
        <v>-9.512</v>
      </c>
      <c r="H69" s="20">
        <v>-1.528</v>
      </c>
      <c r="I69" s="117" t="s">
        <v>193</v>
      </c>
      <c r="J69" s="117" t="s">
        <v>193</v>
      </c>
      <c r="K69" s="117" t="s">
        <v>193</v>
      </c>
      <c r="L69" s="20">
        <v>-10.344</v>
      </c>
      <c r="M69" s="20">
        <v>-11.242</v>
      </c>
      <c r="N69" s="20">
        <v>-11.499</v>
      </c>
      <c r="O69" s="117" t="s">
        <v>193</v>
      </c>
      <c r="P69" s="117" t="s">
        <v>193</v>
      </c>
      <c r="Q69" s="117" t="s">
        <v>193</v>
      </c>
      <c r="R69" s="20">
        <v>-1.967</v>
      </c>
      <c r="S69" s="117" t="s">
        <v>193</v>
      </c>
      <c r="T69" s="117" t="s">
        <v>193</v>
      </c>
      <c r="U69" s="117" t="s">
        <v>193</v>
      </c>
    </row>
    <row r="70" spans="1:21" ht="12">
      <c r="A70" s="1" t="s">
        <v>36</v>
      </c>
      <c r="B70" s="20">
        <v>-4.822</v>
      </c>
      <c r="C70" s="20">
        <v>-6.075</v>
      </c>
      <c r="D70" s="20">
        <v>-5.54</v>
      </c>
      <c r="E70" s="20">
        <v>-6.596</v>
      </c>
      <c r="F70" s="20">
        <v>-4.796</v>
      </c>
      <c r="G70" s="20">
        <v>-5.234</v>
      </c>
      <c r="H70" s="20">
        <v>-0.423</v>
      </c>
      <c r="I70" s="117" t="s">
        <v>193</v>
      </c>
      <c r="J70" s="117" t="s">
        <v>193</v>
      </c>
      <c r="K70" s="117" t="s">
        <v>193</v>
      </c>
      <c r="L70" s="20">
        <v>-7.586</v>
      </c>
      <c r="M70" s="20">
        <v>-10.695</v>
      </c>
      <c r="N70" s="20">
        <v>-7.577</v>
      </c>
      <c r="O70" s="117" t="s">
        <v>193</v>
      </c>
      <c r="P70" s="117" t="s">
        <v>193</v>
      </c>
      <c r="Q70" s="117" t="s">
        <v>193</v>
      </c>
      <c r="R70" s="20">
        <v>-1.943</v>
      </c>
      <c r="S70" s="117" t="s">
        <v>193</v>
      </c>
      <c r="T70" s="117" t="s">
        <v>193</v>
      </c>
      <c r="U70" s="117" t="s">
        <v>193</v>
      </c>
    </row>
    <row r="71" spans="1:21" ht="12">
      <c r="A71" s="1" t="s">
        <v>32</v>
      </c>
      <c r="B71" s="20">
        <v>-5.726</v>
      </c>
      <c r="C71" s="20">
        <v>-8.281</v>
      </c>
      <c r="D71" s="20">
        <v>-6.156</v>
      </c>
      <c r="E71" s="20">
        <v>-7.065</v>
      </c>
      <c r="F71" s="20">
        <v>-4.903</v>
      </c>
      <c r="G71" s="20">
        <v>-6.087</v>
      </c>
      <c r="H71" s="20">
        <v>-0.895</v>
      </c>
      <c r="I71" s="117" t="s">
        <v>193</v>
      </c>
      <c r="J71" s="117" t="s">
        <v>193</v>
      </c>
      <c r="K71" s="117" t="s">
        <v>193</v>
      </c>
      <c r="L71" s="20">
        <v>-5.621</v>
      </c>
      <c r="M71" s="20">
        <v>-5.304</v>
      </c>
      <c r="N71" s="20">
        <v>-6.434</v>
      </c>
      <c r="O71" s="117" t="s">
        <v>193</v>
      </c>
      <c r="P71" s="117" t="s">
        <v>193</v>
      </c>
      <c r="Q71" s="117" t="s">
        <v>193</v>
      </c>
      <c r="R71" s="20">
        <v>-1.468</v>
      </c>
      <c r="S71" s="117" t="s">
        <v>193</v>
      </c>
      <c r="T71" s="117" t="s">
        <v>193</v>
      </c>
      <c r="U71" s="117" t="s">
        <v>193</v>
      </c>
    </row>
    <row r="72" spans="1:21" ht="12">
      <c r="A72" s="1" t="s">
        <v>33</v>
      </c>
      <c r="B72" s="20">
        <v>-4.375</v>
      </c>
      <c r="C72" s="20">
        <v>-6.166</v>
      </c>
      <c r="D72" s="20">
        <v>-4.738</v>
      </c>
      <c r="E72" s="20">
        <v>-5.325</v>
      </c>
      <c r="F72" s="20">
        <v>-1.322</v>
      </c>
      <c r="G72" s="20">
        <v>-5.524</v>
      </c>
      <c r="H72" s="20">
        <v>-0.738</v>
      </c>
      <c r="I72" s="117" t="s">
        <v>193</v>
      </c>
      <c r="J72" s="117" t="s">
        <v>193</v>
      </c>
      <c r="K72" s="117" t="s">
        <v>193</v>
      </c>
      <c r="L72" s="20">
        <v>-5.797</v>
      </c>
      <c r="M72" s="20">
        <v>-5.594</v>
      </c>
      <c r="N72" s="20">
        <v>-6.539</v>
      </c>
      <c r="O72" s="117" t="s">
        <v>193</v>
      </c>
      <c r="P72" s="117" t="s">
        <v>193</v>
      </c>
      <c r="Q72" s="117" t="s">
        <v>193</v>
      </c>
      <c r="R72" s="20">
        <v>-1.85</v>
      </c>
      <c r="S72" s="117" t="s">
        <v>193</v>
      </c>
      <c r="T72" s="117" t="s">
        <v>193</v>
      </c>
      <c r="U72" s="117" t="s">
        <v>193</v>
      </c>
    </row>
    <row r="73" spans="1:21" ht="12">
      <c r="A73" s="1" t="s">
        <v>9</v>
      </c>
      <c r="B73" s="21">
        <f aca="true" t="shared" si="10" ref="B73:R73">AVERAGE(B69:B72)</f>
        <v>-5.7147499999999996</v>
      </c>
      <c r="C73" s="21">
        <f t="shared" si="10"/>
        <v>-7.039000000000001</v>
      </c>
      <c r="D73" s="21">
        <f t="shared" si="10"/>
        <v>-6.515499999999999</v>
      </c>
      <c r="E73" s="21">
        <f t="shared" si="10"/>
        <v>-7.4185</v>
      </c>
      <c r="F73" s="21">
        <f t="shared" si="10"/>
        <v>-4.825749999999999</v>
      </c>
      <c r="G73" s="21">
        <f t="shared" si="10"/>
        <v>-6.58925</v>
      </c>
      <c r="H73" s="21">
        <f t="shared" si="10"/>
        <v>-0.896</v>
      </c>
      <c r="I73" s="117" t="s">
        <v>193</v>
      </c>
      <c r="J73" s="117" t="s">
        <v>193</v>
      </c>
      <c r="K73" s="117" t="s">
        <v>193</v>
      </c>
      <c r="L73" s="21">
        <f t="shared" si="10"/>
        <v>-7.337000000000001</v>
      </c>
      <c r="M73" s="21">
        <f t="shared" si="10"/>
        <v>-8.20875</v>
      </c>
      <c r="N73" s="21">
        <f t="shared" si="10"/>
        <v>-8.01225</v>
      </c>
      <c r="O73" s="117" t="s">
        <v>193</v>
      </c>
      <c r="P73" s="117" t="s">
        <v>193</v>
      </c>
      <c r="Q73" s="117" t="s">
        <v>193</v>
      </c>
      <c r="R73" s="21">
        <f t="shared" si="10"/>
        <v>-1.807</v>
      </c>
      <c r="S73" s="117" t="s">
        <v>193</v>
      </c>
      <c r="T73" s="117" t="s">
        <v>193</v>
      </c>
      <c r="U73" s="117" t="s">
        <v>193</v>
      </c>
    </row>
    <row r="74" spans="1:21" ht="12">
      <c r="A74" s="1" t="s">
        <v>283</v>
      </c>
      <c r="B74" s="20">
        <v>-2.753</v>
      </c>
      <c r="C74" s="20">
        <v>-3.329</v>
      </c>
      <c r="D74" s="20">
        <v>-3.22</v>
      </c>
      <c r="E74" s="20">
        <v>-3.403</v>
      </c>
      <c r="F74" s="20">
        <v>-1.99</v>
      </c>
      <c r="G74" s="20">
        <v>-3.467</v>
      </c>
      <c r="H74" s="20">
        <v>-0.211</v>
      </c>
      <c r="I74" s="117" t="s">
        <v>193</v>
      </c>
      <c r="J74" s="117" t="s">
        <v>193</v>
      </c>
      <c r="K74" s="117" t="s">
        <v>193</v>
      </c>
      <c r="L74" s="20">
        <v>-3.694</v>
      </c>
      <c r="M74" s="20">
        <v>-3.4</v>
      </c>
      <c r="N74" s="20">
        <v>-4.154</v>
      </c>
      <c r="O74" s="117" t="s">
        <v>193</v>
      </c>
      <c r="P74" s="117" t="s">
        <v>193</v>
      </c>
      <c r="Q74" s="117" t="s">
        <v>193</v>
      </c>
      <c r="R74" s="20">
        <v>-1.606</v>
      </c>
      <c r="S74" s="117" t="s">
        <v>193</v>
      </c>
      <c r="T74" s="117" t="s">
        <v>193</v>
      </c>
      <c r="U74" s="117" t="s">
        <v>193</v>
      </c>
    </row>
    <row r="75" spans="1:21" ht="12">
      <c r="A75" s="1" t="s">
        <v>36</v>
      </c>
      <c r="B75" s="20">
        <v>-3.288</v>
      </c>
      <c r="C75" s="20">
        <v>-5.485</v>
      </c>
      <c r="D75" s="20">
        <v>-3.38</v>
      </c>
      <c r="E75" s="20">
        <v>-3.599</v>
      </c>
      <c r="F75" s="20">
        <v>-5.552</v>
      </c>
      <c r="G75" s="20">
        <v>-2.688</v>
      </c>
      <c r="H75" s="20">
        <v>-0.356</v>
      </c>
      <c r="I75" s="117" t="s">
        <v>193</v>
      </c>
      <c r="J75" s="117" t="s">
        <v>193</v>
      </c>
      <c r="K75" s="117" t="s">
        <v>193</v>
      </c>
      <c r="L75" s="20">
        <v>-3.853</v>
      </c>
      <c r="M75" s="20">
        <v>-5.834</v>
      </c>
      <c r="N75" s="20">
        <v>-3.814</v>
      </c>
      <c r="O75" s="117" t="s">
        <v>193</v>
      </c>
      <c r="P75" s="117" t="s">
        <v>193</v>
      </c>
      <c r="Q75" s="117" t="s">
        <v>193</v>
      </c>
      <c r="R75" s="20">
        <v>-0.541</v>
      </c>
      <c r="S75" s="117" t="s">
        <v>193</v>
      </c>
      <c r="T75" s="117" t="s">
        <v>193</v>
      </c>
      <c r="U75" s="117" t="s">
        <v>193</v>
      </c>
    </row>
    <row r="76" spans="1:21" ht="12">
      <c r="A76" s="1" t="s">
        <v>32</v>
      </c>
      <c r="B76" s="20">
        <v>-3.76</v>
      </c>
      <c r="C76" s="20">
        <v>-6.885</v>
      </c>
      <c r="D76" s="20">
        <v>-3.027</v>
      </c>
      <c r="E76" s="20">
        <v>-2.708</v>
      </c>
      <c r="F76" s="20">
        <v>-3.536</v>
      </c>
      <c r="G76" s="20">
        <v>-3.04</v>
      </c>
      <c r="H76" s="20">
        <v>-3.046</v>
      </c>
      <c r="I76" s="117" t="s">
        <v>193</v>
      </c>
      <c r="J76" s="117" t="s">
        <v>193</v>
      </c>
      <c r="K76" s="117" t="s">
        <v>193</v>
      </c>
      <c r="L76" s="20">
        <v>-5.339</v>
      </c>
      <c r="M76" s="20">
        <v>-6.406</v>
      </c>
      <c r="N76" s="20">
        <v>-5.404</v>
      </c>
      <c r="O76" s="117" t="s">
        <v>193</v>
      </c>
      <c r="P76" s="117" t="s">
        <v>193</v>
      </c>
      <c r="Q76" s="117" t="s">
        <v>193</v>
      </c>
      <c r="R76" s="20">
        <v>-3.073</v>
      </c>
      <c r="S76" s="117" t="s">
        <v>193</v>
      </c>
      <c r="T76" s="117" t="s">
        <v>193</v>
      </c>
      <c r="U76" s="117" t="s">
        <v>193</v>
      </c>
    </row>
    <row r="77" spans="1:21" ht="12">
      <c r="A77" s="1" t="s">
        <v>33</v>
      </c>
      <c r="B77" s="20">
        <v>-3.034</v>
      </c>
      <c r="C77" s="20">
        <v>-5.226</v>
      </c>
      <c r="D77" s="20">
        <v>-3.015</v>
      </c>
      <c r="E77" s="20">
        <v>-3.961</v>
      </c>
      <c r="F77" s="20">
        <v>-1.927</v>
      </c>
      <c r="G77" s="20">
        <v>-2.861</v>
      </c>
      <c r="H77" s="20">
        <v>-0.552</v>
      </c>
      <c r="I77" s="117" t="s">
        <v>193</v>
      </c>
      <c r="J77" s="117" t="s">
        <v>193</v>
      </c>
      <c r="K77" s="117" t="s">
        <v>193</v>
      </c>
      <c r="L77" s="20">
        <v>-3.792</v>
      </c>
      <c r="M77" s="20">
        <v>-5.034</v>
      </c>
      <c r="N77" s="20">
        <v>-3.689</v>
      </c>
      <c r="O77" s="117" t="s">
        <v>193</v>
      </c>
      <c r="P77" s="117" t="s">
        <v>193</v>
      </c>
      <c r="Q77" s="117" t="s">
        <v>193</v>
      </c>
      <c r="R77" s="20">
        <v>-2.165</v>
      </c>
      <c r="S77" s="117" t="s">
        <v>193</v>
      </c>
      <c r="T77" s="117" t="s">
        <v>193</v>
      </c>
      <c r="U77" s="117" t="s">
        <v>193</v>
      </c>
    </row>
    <row r="78" spans="1:21" ht="12">
      <c r="A78" s="1" t="s">
        <v>9</v>
      </c>
      <c r="B78" s="21">
        <f aca="true" t="shared" si="11" ref="B78:R78">AVERAGE(B74:B77)</f>
        <v>-3.20875</v>
      </c>
      <c r="C78" s="21">
        <f t="shared" si="11"/>
        <v>-5.23125</v>
      </c>
      <c r="D78" s="21">
        <f t="shared" si="11"/>
        <v>-3.1605</v>
      </c>
      <c r="E78" s="21">
        <f t="shared" si="11"/>
        <v>-3.4177500000000003</v>
      </c>
      <c r="F78" s="21">
        <f t="shared" si="11"/>
        <v>-3.2512499999999998</v>
      </c>
      <c r="G78" s="21">
        <f t="shared" si="11"/>
        <v>-3.0140000000000002</v>
      </c>
      <c r="H78" s="21">
        <f t="shared" si="11"/>
        <v>-1.0412499999999998</v>
      </c>
      <c r="I78" s="117" t="s">
        <v>193</v>
      </c>
      <c r="J78" s="117" t="s">
        <v>193</v>
      </c>
      <c r="K78" s="117" t="s">
        <v>193</v>
      </c>
      <c r="L78" s="21">
        <f t="shared" si="11"/>
        <v>-4.1695</v>
      </c>
      <c r="M78" s="21">
        <f t="shared" si="11"/>
        <v>-5.1685</v>
      </c>
      <c r="N78" s="21">
        <f t="shared" si="11"/>
        <v>-4.26525</v>
      </c>
      <c r="O78" s="117" t="s">
        <v>193</v>
      </c>
      <c r="P78" s="117" t="s">
        <v>193</v>
      </c>
      <c r="Q78" s="117" t="s">
        <v>193</v>
      </c>
      <c r="R78" s="21">
        <f t="shared" si="11"/>
        <v>-1.8462500000000002</v>
      </c>
      <c r="S78" s="117" t="s">
        <v>193</v>
      </c>
      <c r="T78" s="117" t="s">
        <v>193</v>
      </c>
      <c r="U78" s="117" t="s">
        <v>193</v>
      </c>
    </row>
    <row r="79" spans="1:21" ht="12">
      <c r="A79" s="1" t="s">
        <v>297</v>
      </c>
      <c r="B79" s="20">
        <v>2.954</v>
      </c>
      <c r="C79" s="20">
        <v>2.507</v>
      </c>
      <c r="D79" s="20">
        <v>4.245</v>
      </c>
      <c r="E79" s="20">
        <v>2.544</v>
      </c>
      <c r="F79" s="20">
        <v>5.964</v>
      </c>
      <c r="G79" s="20">
        <v>4.576</v>
      </c>
      <c r="H79" s="20">
        <v>-0.986</v>
      </c>
      <c r="I79" s="117" t="s">
        <v>193</v>
      </c>
      <c r="J79" s="117" t="s">
        <v>193</v>
      </c>
      <c r="K79" s="117" t="s">
        <v>193</v>
      </c>
      <c r="L79" s="117" t="s">
        <v>193</v>
      </c>
      <c r="M79" s="117" t="s">
        <v>193</v>
      </c>
      <c r="N79" s="117" t="s">
        <v>193</v>
      </c>
      <c r="O79" s="117" t="s">
        <v>193</v>
      </c>
      <c r="P79" s="117" t="s">
        <v>193</v>
      </c>
      <c r="Q79" s="117" t="s">
        <v>193</v>
      </c>
      <c r="R79" s="117" t="s">
        <v>193</v>
      </c>
      <c r="S79" s="117" t="s">
        <v>193</v>
      </c>
      <c r="T79" s="117" t="s">
        <v>193</v>
      </c>
      <c r="U79" s="117" t="s">
        <v>193</v>
      </c>
    </row>
    <row r="80" spans="1:21" ht="12">
      <c r="A80" s="1" t="s">
        <v>36</v>
      </c>
      <c r="B80" s="20">
        <v>-0.644</v>
      </c>
      <c r="C80" s="20">
        <v>-0.75</v>
      </c>
      <c r="D80" s="20">
        <v>-0.588</v>
      </c>
      <c r="E80" s="20">
        <v>-0.642</v>
      </c>
      <c r="F80" s="20">
        <v>-2.904</v>
      </c>
      <c r="G80" s="20">
        <v>0.089</v>
      </c>
      <c r="H80" s="20">
        <v>-0.729</v>
      </c>
      <c r="I80" s="117" t="s">
        <v>193</v>
      </c>
      <c r="J80" s="117" t="s">
        <v>193</v>
      </c>
      <c r="K80" s="117" t="s">
        <v>193</v>
      </c>
      <c r="L80" s="117" t="s">
        <v>193</v>
      </c>
      <c r="M80" s="117" t="s">
        <v>193</v>
      </c>
      <c r="N80" s="117" t="s">
        <v>193</v>
      </c>
      <c r="O80" s="117" t="s">
        <v>193</v>
      </c>
      <c r="P80" s="117" t="s">
        <v>193</v>
      </c>
      <c r="Q80" s="117" t="s">
        <v>193</v>
      </c>
      <c r="R80" s="117" t="s">
        <v>193</v>
      </c>
      <c r="S80" s="117" t="s">
        <v>193</v>
      </c>
      <c r="T80" s="117" t="s">
        <v>193</v>
      </c>
      <c r="U80" s="117" t="s">
        <v>193</v>
      </c>
    </row>
    <row r="81" spans="1:21" ht="12">
      <c r="A81" s="1" t="s">
        <v>32</v>
      </c>
      <c r="B81" s="20">
        <v>-0.74</v>
      </c>
      <c r="C81" s="20">
        <v>-1.941</v>
      </c>
      <c r="D81" s="20">
        <v>-0.99</v>
      </c>
      <c r="E81" s="20">
        <v>-2.809</v>
      </c>
      <c r="F81" s="20">
        <v>1.01</v>
      </c>
      <c r="G81" s="20">
        <v>-0.682</v>
      </c>
      <c r="H81" s="20">
        <v>1.29</v>
      </c>
      <c r="I81" s="117" t="s">
        <v>193</v>
      </c>
      <c r="J81" s="117" t="s">
        <v>193</v>
      </c>
      <c r="K81" s="117" t="s">
        <v>193</v>
      </c>
      <c r="L81" s="117" t="s">
        <v>193</v>
      </c>
      <c r="M81" s="117" t="s">
        <v>193</v>
      </c>
      <c r="N81" s="117" t="s">
        <v>193</v>
      </c>
      <c r="O81" s="117" t="s">
        <v>193</v>
      </c>
      <c r="P81" s="117" t="s">
        <v>193</v>
      </c>
      <c r="Q81" s="117" t="s">
        <v>193</v>
      </c>
      <c r="R81" s="117" t="s">
        <v>193</v>
      </c>
      <c r="S81" s="117" t="s">
        <v>193</v>
      </c>
      <c r="T81" s="117" t="s">
        <v>193</v>
      </c>
      <c r="U81" s="117" t="s">
        <v>193</v>
      </c>
    </row>
    <row r="82" spans="1:21" ht="12">
      <c r="A82" s="1" t="s">
        <v>33</v>
      </c>
      <c r="B82" s="20">
        <v>0.387</v>
      </c>
      <c r="C82" s="20">
        <v>-0.611</v>
      </c>
      <c r="D82" s="20">
        <v>0.387</v>
      </c>
      <c r="E82" s="20">
        <v>0.361</v>
      </c>
      <c r="F82" s="20">
        <v>-0.058</v>
      </c>
      <c r="G82" s="20">
        <v>0.525</v>
      </c>
      <c r="H82" s="20">
        <v>1.372</v>
      </c>
      <c r="I82" s="117" t="s">
        <v>193</v>
      </c>
      <c r="J82" s="117" t="s">
        <v>193</v>
      </c>
      <c r="K82" s="117" t="s">
        <v>193</v>
      </c>
      <c r="L82" s="117" t="s">
        <v>193</v>
      </c>
      <c r="M82" s="117" t="s">
        <v>193</v>
      </c>
      <c r="N82" s="117" t="s">
        <v>193</v>
      </c>
      <c r="O82" s="117" t="s">
        <v>193</v>
      </c>
      <c r="P82" s="117" t="s">
        <v>193</v>
      </c>
      <c r="Q82" s="117" t="s">
        <v>193</v>
      </c>
      <c r="R82" s="117" t="s">
        <v>193</v>
      </c>
      <c r="S82" s="117" t="s">
        <v>193</v>
      </c>
      <c r="T82" s="117" t="s">
        <v>193</v>
      </c>
      <c r="U82" s="117" t="s">
        <v>193</v>
      </c>
    </row>
    <row r="83" spans="1:21" ht="12">
      <c r="A83" s="1" t="s">
        <v>9</v>
      </c>
      <c r="B83" s="21">
        <f aca="true" t="shared" si="12" ref="B83:H83">AVERAGE(B79:B82)</f>
        <v>0.48925</v>
      </c>
      <c r="C83" s="21">
        <f t="shared" si="12"/>
        <v>-0.19874999999999998</v>
      </c>
      <c r="D83" s="21">
        <f t="shared" si="12"/>
        <v>0.7635</v>
      </c>
      <c r="E83" s="21">
        <f t="shared" si="12"/>
        <v>-0.1365</v>
      </c>
      <c r="F83" s="21">
        <f t="shared" si="12"/>
        <v>1.0030000000000001</v>
      </c>
      <c r="G83" s="21">
        <f t="shared" si="12"/>
        <v>1.127</v>
      </c>
      <c r="H83" s="21">
        <f t="shared" si="12"/>
        <v>0.23675000000000007</v>
      </c>
      <c r="I83" s="117" t="s">
        <v>193</v>
      </c>
      <c r="J83" s="117" t="s">
        <v>193</v>
      </c>
      <c r="K83" s="117" t="s">
        <v>193</v>
      </c>
      <c r="L83" s="117" t="s">
        <v>193</v>
      </c>
      <c r="M83" s="117" t="s">
        <v>193</v>
      </c>
      <c r="N83" s="117" t="s">
        <v>193</v>
      </c>
      <c r="O83" s="117" t="s">
        <v>193</v>
      </c>
      <c r="P83" s="117" t="s">
        <v>193</v>
      </c>
      <c r="Q83" s="117" t="s">
        <v>193</v>
      </c>
      <c r="R83" s="117" t="s">
        <v>193</v>
      </c>
      <c r="S83" s="117" t="s">
        <v>193</v>
      </c>
      <c r="T83" s="117" t="s">
        <v>193</v>
      </c>
      <c r="U83" s="117" t="s">
        <v>193</v>
      </c>
    </row>
    <row r="84" spans="1:21" ht="12">
      <c r="A84" s="1" t="s">
        <v>299</v>
      </c>
      <c r="B84" s="20">
        <v>0.528</v>
      </c>
      <c r="C84" s="20">
        <v>-0.092</v>
      </c>
      <c r="D84" s="20">
        <v>0.441</v>
      </c>
      <c r="E84" s="20">
        <v>-0.985</v>
      </c>
      <c r="F84" s="20">
        <v>0.454</v>
      </c>
      <c r="G84" s="20">
        <v>1.101</v>
      </c>
      <c r="H84" s="20">
        <v>1.432</v>
      </c>
      <c r="I84" s="117" t="s">
        <v>193</v>
      </c>
      <c r="J84" s="117" t="s">
        <v>193</v>
      </c>
      <c r="K84" s="117" t="s">
        <v>193</v>
      </c>
      <c r="L84" s="20"/>
      <c r="M84" s="20"/>
      <c r="N84" s="20"/>
      <c r="O84" s="117" t="s">
        <v>193</v>
      </c>
      <c r="P84" s="117" t="s">
        <v>193</v>
      </c>
      <c r="Q84" s="117" t="s">
        <v>193</v>
      </c>
      <c r="R84" s="20"/>
      <c r="S84" s="117" t="s">
        <v>193</v>
      </c>
      <c r="T84" s="117" t="s">
        <v>193</v>
      </c>
      <c r="U84" s="117" t="s">
        <v>193</v>
      </c>
    </row>
    <row r="85" spans="1:21" ht="12">
      <c r="A85" s="1" t="s">
        <v>36</v>
      </c>
      <c r="B85" s="20">
        <v>-0.339</v>
      </c>
      <c r="C85" s="20">
        <v>-0.498</v>
      </c>
      <c r="D85" s="20">
        <v>-0.304</v>
      </c>
      <c r="E85" s="20">
        <v>-2.647</v>
      </c>
      <c r="F85" s="20">
        <v>1.163</v>
      </c>
      <c r="G85" s="20">
        <v>0.376</v>
      </c>
      <c r="H85" s="20">
        <v>-0.303</v>
      </c>
      <c r="I85" s="117" t="s">
        <v>193</v>
      </c>
      <c r="J85" s="117" t="s">
        <v>193</v>
      </c>
      <c r="K85" s="117" t="s">
        <v>193</v>
      </c>
      <c r="L85" s="20"/>
      <c r="M85" s="20"/>
      <c r="N85" s="20"/>
      <c r="O85" s="117" t="s">
        <v>193</v>
      </c>
      <c r="P85" s="117" t="s">
        <v>193</v>
      </c>
      <c r="Q85" s="117" t="s">
        <v>193</v>
      </c>
      <c r="R85" s="20"/>
      <c r="S85" s="117" t="s">
        <v>193</v>
      </c>
      <c r="T85" s="117" t="s">
        <v>193</v>
      </c>
      <c r="U85" s="117" t="s">
        <v>193</v>
      </c>
    </row>
    <row r="86" spans="1:21" ht="12">
      <c r="A86" s="1" t="s">
        <v>32</v>
      </c>
      <c r="B86" s="20">
        <v>-1.047</v>
      </c>
      <c r="C86" s="20">
        <v>-1.738</v>
      </c>
      <c r="D86" s="20">
        <v>-0.648</v>
      </c>
      <c r="E86" s="20">
        <v>-3.138</v>
      </c>
      <c r="F86" s="20">
        <v>0.088</v>
      </c>
      <c r="G86" s="20">
        <v>0.304</v>
      </c>
      <c r="H86" s="20">
        <v>-1.716</v>
      </c>
      <c r="I86" s="117" t="s">
        <v>193</v>
      </c>
      <c r="J86" s="117" t="s">
        <v>193</v>
      </c>
      <c r="K86" s="117" t="s">
        <v>193</v>
      </c>
      <c r="L86" s="20"/>
      <c r="M86" s="20"/>
      <c r="N86" s="20"/>
      <c r="O86" s="117" t="s">
        <v>193</v>
      </c>
      <c r="P86" s="117" t="s">
        <v>193</v>
      </c>
      <c r="Q86" s="117" t="s">
        <v>193</v>
      </c>
      <c r="R86" s="20"/>
      <c r="S86" s="117" t="s">
        <v>193</v>
      </c>
      <c r="T86" s="117" t="s">
        <v>193</v>
      </c>
      <c r="U86" s="117" t="s">
        <v>193</v>
      </c>
    </row>
    <row r="87" spans="1:21" ht="12">
      <c r="A87" s="1" t="s">
        <v>33</v>
      </c>
      <c r="B87" s="20"/>
      <c r="C87" s="20"/>
      <c r="D87" s="20"/>
      <c r="E87" s="20"/>
      <c r="F87" s="20"/>
      <c r="G87" s="20"/>
      <c r="H87" s="20"/>
      <c r="I87" s="20"/>
      <c r="J87" s="20"/>
      <c r="K87" s="20"/>
      <c r="L87" s="20"/>
      <c r="M87" s="20"/>
      <c r="N87" s="20"/>
      <c r="O87" s="20"/>
      <c r="P87" s="20"/>
      <c r="Q87" s="20"/>
      <c r="R87" s="20"/>
      <c r="S87" s="20"/>
      <c r="T87" s="20"/>
      <c r="U87" s="20"/>
    </row>
    <row r="88" spans="1:21" ht="12">
      <c r="A88" s="1" t="s">
        <v>9</v>
      </c>
      <c r="B88" s="21">
        <f aca="true" t="shared" si="13" ref="B88:U88">AVERAGE(B84:B87)</f>
        <v>-0.286</v>
      </c>
      <c r="C88" s="21">
        <f t="shared" si="13"/>
        <v>-0.7759999999999999</v>
      </c>
      <c r="D88" s="21">
        <f t="shared" si="13"/>
        <v>-0.17033333333333334</v>
      </c>
      <c r="E88" s="21">
        <f t="shared" si="13"/>
        <v>-2.2566666666666664</v>
      </c>
      <c r="F88" s="21">
        <f t="shared" si="13"/>
        <v>0.5683333333333334</v>
      </c>
      <c r="G88" s="21">
        <f t="shared" si="13"/>
        <v>0.5936666666666667</v>
      </c>
      <c r="H88" s="21">
        <f t="shared" si="13"/>
        <v>-0.19566666666666666</v>
      </c>
      <c r="I88" s="21" t="e">
        <f t="shared" si="13"/>
        <v>#DIV/0!</v>
      </c>
      <c r="J88" s="21" t="e">
        <f t="shared" si="13"/>
        <v>#DIV/0!</v>
      </c>
      <c r="K88" s="21" t="e">
        <f t="shared" si="13"/>
        <v>#DIV/0!</v>
      </c>
      <c r="L88" s="21" t="e">
        <f t="shared" si="13"/>
        <v>#DIV/0!</v>
      </c>
      <c r="M88" s="21" t="e">
        <f t="shared" si="13"/>
        <v>#DIV/0!</v>
      </c>
      <c r="N88" s="21" t="e">
        <f t="shared" si="13"/>
        <v>#DIV/0!</v>
      </c>
      <c r="O88" s="21" t="e">
        <f t="shared" si="13"/>
        <v>#DIV/0!</v>
      </c>
      <c r="P88" s="21" t="e">
        <f t="shared" si="13"/>
        <v>#DIV/0!</v>
      </c>
      <c r="Q88" s="21" t="e">
        <f t="shared" si="13"/>
        <v>#DIV/0!</v>
      </c>
      <c r="R88" s="21" t="e">
        <f t="shared" si="13"/>
        <v>#DIV/0!</v>
      </c>
      <c r="S88" s="21" t="e">
        <f t="shared" si="13"/>
        <v>#DIV/0!</v>
      </c>
      <c r="T88" s="21" t="e">
        <f t="shared" si="13"/>
        <v>#DIV/0!</v>
      </c>
      <c r="U88" s="21" t="e">
        <f t="shared" si="13"/>
        <v>#DIV/0!</v>
      </c>
    </row>
    <row r="89" spans="1:21" ht="12.75" thickBot="1">
      <c r="A89" s="116"/>
      <c r="B89" s="116"/>
      <c r="C89" s="116"/>
      <c r="D89" s="116"/>
      <c r="E89" s="116"/>
      <c r="F89" s="116"/>
      <c r="G89" s="116"/>
      <c r="H89" s="116"/>
      <c r="I89" s="116"/>
      <c r="J89" s="116"/>
      <c r="K89" s="116"/>
      <c r="L89" s="116"/>
      <c r="M89" s="116"/>
      <c r="N89" s="116"/>
      <c r="O89" s="116"/>
      <c r="P89" s="116"/>
      <c r="Q89" s="116"/>
      <c r="R89" s="116"/>
      <c r="S89" s="116"/>
      <c r="T89" s="116"/>
      <c r="U89" s="116"/>
    </row>
    <row r="90" spans="1:21" ht="12">
      <c r="A90" s="118" t="s">
        <v>272</v>
      </c>
      <c r="B90" s="119"/>
      <c r="C90" s="119"/>
      <c r="D90" s="119"/>
      <c r="E90" s="119"/>
      <c r="F90" s="119"/>
      <c r="G90" s="119"/>
      <c r="H90" s="119"/>
      <c r="I90" s="119"/>
      <c r="J90" s="119"/>
      <c r="K90" s="119"/>
      <c r="L90" s="119"/>
      <c r="M90" s="119"/>
      <c r="N90" s="119"/>
      <c r="O90" s="119"/>
      <c r="P90" s="119"/>
      <c r="Q90" s="119"/>
      <c r="R90" s="119"/>
      <c r="S90" s="119"/>
      <c r="T90" s="119"/>
      <c r="U90" s="119"/>
    </row>
    <row r="91" spans="1:21" ht="12">
      <c r="A91" s="118" t="s">
        <v>273</v>
      </c>
      <c r="B91" s="119"/>
      <c r="C91" s="119"/>
      <c r="D91" s="119"/>
      <c r="E91" s="119"/>
      <c r="F91" s="119"/>
      <c r="G91" s="119"/>
      <c r="H91" s="119"/>
      <c r="I91" s="119"/>
      <c r="J91" s="119"/>
      <c r="K91" s="119"/>
      <c r="L91" s="119"/>
      <c r="M91" s="119"/>
      <c r="N91" s="119"/>
      <c r="O91" s="119"/>
      <c r="P91" s="119"/>
      <c r="Q91" s="119"/>
      <c r="R91" s="119"/>
      <c r="S91" s="119"/>
      <c r="T91" s="119"/>
      <c r="U91" s="119"/>
    </row>
    <row r="92" spans="1:21" ht="12">
      <c r="A92" s="2" t="s">
        <v>280</v>
      </c>
      <c r="B92" s="119"/>
      <c r="C92" s="119"/>
      <c r="D92" s="119"/>
      <c r="E92" s="119"/>
      <c r="F92" s="119"/>
      <c r="G92" s="119"/>
      <c r="H92" s="119"/>
      <c r="I92" s="119"/>
      <c r="J92" s="119"/>
      <c r="K92" s="119"/>
      <c r="L92" s="119"/>
      <c r="M92" s="119"/>
      <c r="N92" s="119"/>
      <c r="O92" s="119"/>
      <c r="P92" s="119"/>
      <c r="Q92" s="119"/>
      <c r="R92" s="119"/>
      <c r="S92" s="119"/>
      <c r="T92" s="119"/>
      <c r="U92" s="119"/>
    </row>
    <row r="93" spans="1:21" ht="12">
      <c r="A93" s="2" t="s">
        <v>281</v>
      </c>
      <c r="B93" s="119"/>
      <c r="C93" s="119"/>
      <c r="D93" s="119"/>
      <c r="E93" s="119"/>
      <c r="F93" s="119"/>
      <c r="G93" s="119"/>
      <c r="H93" s="119"/>
      <c r="I93" s="119"/>
      <c r="J93" s="119"/>
      <c r="K93" s="119"/>
      <c r="L93" s="119"/>
      <c r="M93" s="119"/>
      <c r="N93" s="119"/>
      <c r="O93" s="119"/>
      <c r="P93" s="119"/>
      <c r="Q93" s="119"/>
      <c r="R93" s="119"/>
      <c r="S93" s="119"/>
      <c r="T93" s="119"/>
      <c r="U93" s="119"/>
    </row>
    <row r="94" spans="1:21" ht="12">
      <c r="A94" s="119"/>
      <c r="B94" s="119"/>
      <c r="C94" s="119"/>
      <c r="D94" s="119"/>
      <c r="E94" s="119"/>
      <c r="F94" s="119"/>
      <c r="G94" s="119"/>
      <c r="H94" s="119"/>
      <c r="I94" s="119"/>
      <c r="J94" s="119"/>
      <c r="K94" s="119"/>
      <c r="L94" s="119"/>
      <c r="M94" s="119"/>
      <c r="N94" s="119"/>
      <c r="O94" s="119"/>
      <c r="P94" s="119"/>
      <c r="Q94" s="119"/>
      <c r="R94" s="119"/>
      <c r="S94" s="119"/>
      <c r="T94" s="119"/>
      <c r="U94" s="119"/>
    </row>
    <row r="95" ht="12">
      <c r="A95" s="1" t="s">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4"/>
  <sheetViews>
    <sheetView zoomScalePageLayoutView="0" workbookViewId="0" topLeftCell="A1">
      <selection activeCell="A1" sqref="A1:IV16384"/>
    </sheetView>
  </sheetViews>
  <sheetFormatPr defaultColWidth="9.00390625" defaultRowHeight="12.75"/>
  <cols>
    <col min="1" max="1" width="33.875" style="2" customWidth="1"/>
    <col min="2" max="2" width="23.50390625" style="2" customWidth="1"/>
    <col min="3" max="3" width="22.00390625" style="2" customWidth="1"/>
    <col min="4" max="4" width="18.125" style="2" customWidth="1"/>
    <col min="5" max="16384" width="9.00390625" style="2" customWidth="1"/>
  </cols>
  <sheetData>
    <row r="1" spans="1:4" ht="35.25" customHeight="1">
      <c r="A1" s="126" t="s">
        <v>68</v>
      </c>
      <c r="B1" s="127"/>
      <c r="C1" s="127"/>
      <c r="D1" s="128"/>
    </row>
    <row r="2" ht="12.75">
      <c r="A2" s="30"/>
    </row>
    <row r="3" s="31" customFormat="1" ht="12"/>
    <row r="4" spans="1:4" s="31" customFormat="1" ht="15">
      <c r="A4" s="32" t="s">
        <v>69</v>
      </c>
      <c r="B4" s="2"/>
      <c r="C4" s="2"/>
      <c r="D4" s="2"/>
    </row>
    <row r="5" spans="1:4" s="31" customFormat="1" ht="6" customHeight="1">
      <c r="A5" s="33"/>
      <c r="B5" s="34"/>
      <c r="C5" s="35"/>
      <c r="D5" s="36"/>
    </row>
    <row r="6" spans="1:4" s="31" customFormat="1" ht="12.75">
      <c r="A6" s="37" t="s">
        <v>70</v>
      </c>
      <c r="B6" s="38" t="s">
        <v>71</v>
      </c>
      <c r="C6" s="39"/>
      <c r="D6" s="40"/>
    </row>
    <row r="7" spans="1:4" s="31" customFormat="1" ht="12">
      <c r="A7" s="41"/>
      <c r="B7" s="42"/>
      <c r="C7" s="43"/>
      <c r="D7" s="44"/>
    </row>
    <row r="8" spans="1:4" s="31" customFormat="1" ht="12">
      <c r="A8" s="45"/>
      <c r="B8" s="46"/>
      <c r="C8" s="47"/>
      <c r="D8" s="48"/>
    </row>
    <row r="9" spans="1:4" s="31" customFormat="1" ht="12">
      <c r="A9" s="49" t="s">
        <v>72</v>
      </c>
      <c r="B9" s="50" t="s">
        <v>73</v>
      </c>
      <c r="D9" s="51"/>
    </row>
    <row r="10" spans="1:4" s="31" customFormat="1" ht="12">
      <c r="A10" s="52"/>
      <c r="B10" s="50" t="s">
        <v>74</v>
      </c>
      <c r="D10" s="51"/>
    </row>
    <row r="11" spans="1:4" s="31" customFormat="1" ht="12">
      <c r="A11" s="52"/>
      <c r="B11" s="50" t="s">
        <v>75</v>
      </c>
      <c r="D11" s="51"/>
    </row>
    <row r="12" spans="1:4" s="31" customFormat="1" ht="12">
      <c r="A12" s="52"/>
      <c r="B12" s="50" t="s">
        <v>76</v>
      </c>
      <c r="D12" s="51"/>
    </row>
    <row r="13" spans="1:4" s="31" customFormat="1" ht="12">
      <c r="A13" s="45"/>
      <c r="B13" s="47"/>
      <c r="C13" s="47"/>
      <c r="D13" s="48"/>
    </row>
    <row r="14" spans="1:4" s="31" customFormat="1" ht="12">
      <c r="A14" s="49" t="s">
        <v>77</v>
      </c>
      <c r="D14" s="51"/>
    </row>
    <row r="15" spans="1:4" s="31" customFormat="1" ht="12">
      <c r="A15" s="53" t="s">
        <v>78</v>
      </c>
      <c r="B15" s="50" t="s">
        <v>79</v>
      </c>
      <c r="D15" s="51"/>
    </row>
    <row r="16" spans="1:4" s="31" customFormat="1" ht="12">
      <c r="A16" s="54"/>
      <c r="B16" s="50" t="s">
        <v>80</v>
      </c>
      <c r="D16" s="51"/>
    </row>
    <row r="17" spans="1:4" s="31" customFormat="1" ht="12">
      <c r="A17" s="54"/>
      <c r="B17" s="50" t="s">
        <v>81</v>
      </c>
      <c r="D17" s="51"/>
    </row>
    <row r="18" spans="1:4" s="31" customFormat="1" ht="12">
      <c r="A18" s="54"/>
      <c r="B18" s="50"/>
      <c r="D18" s="51"/>
    </row>
    <row r="19" spans="1:4" s="31" customFormat="1" ht="12">
      <c r="A19" s="53" t="s">
        <v>82</v>
      </c>
      <c r="B19" s="50" t="s">
        <v>83</v>
      </c>
      <c r="D19" s="51"/>
    </row>
    <row r="20" spans="1:4" s="31" customFormat="1" ht="12">
      <c r="A20" s="54"/>
      <c r="B20" s="55" t="s">
        <v>84</v>
      </c>
      <c r="D20" s="51"/>
    </row>
    <row r="21" spans="1:4" s="31" customFormat="1" ht="12">
      <c r="A21" s="54"/>
      <c r="B21" s="50" t="s">
        <v>85</v>
      </c>
      <c r="D21" s="51"/>
    </row>
    <row r="22" spans="1:4" s="31" customFormat="1" ht="12">
      <c r="A22" s="54"/>
      <c r="B22" s="50"/>
      <c r="D22" s="51"/>
    </row>
    <row r="23" spans="1:4" s="31" customFormat="1" ht="12">
      <c r="A23" s="53" t="s">
        <v>86</v>
      </c>
      <c r="B23" s="50" t="s">
        <v>87</v>
      </c>
      <c r="D23" s="51"/>
    </row>
    <row r="24" spans="1:4" s="31" customFormat="1" ht="12">
      <c r="A24" s="54"/>
      <c r="B24" s="50" t="s">
        <v>88</v>
      </c>
      <c r="D24" s="51"/>
    </row>
    <row r="25" spans="1:4" s="31" customFormat="1" ht="12">
      <c r="A25" s="54"/>
      <c r="B25" s="50" t="s">
        <v>89</v>
      </c>
      <c r="D25" s="51"/>
    </row>
    <row r="26" spans="1:4" s="31" customFormat="1" ht="12">
      <c r="A26" s="54"/>
      <c r="B26" s="50" t="s">
        <v>90</v>
      </c>
      <c r="D26" s="51"/>
    </row>
    <row r="27" spans="1:4" s="31" customFormat="1" ht="12">
      <c r="A27" s="54"/>
      <c r="B27" s="50" t="s">
        <v>91</v>
      </c>
      <c r="D27" s="51"/>
    </row>
    <row r="28" spans="1:4" s="31" customFormat="1" ht="12">
      <c r="A28" s="56"/>
      <c r="B28" s="50" t="s">
        <v>92</v>
      </c>
      <c r="D28" s="51"/>
    </row>
    <row r="29" spans="1:4" s="31" customFormat="1" ht="12">
      <c r="A29" s="49"/>
      <c r="B29" s="50" t="s">
        <v>93</v>
      </c>
      <c r="D29" s="51"/>
    </row>
    <row r="30" spans="1:4" s="31" customFormat="1" ht="12" customHeight="1">
      <c r="A30" s="57"/>
      <c r="B30" s="50" t="s">
        <v>93</v>
      </c>
      <c r="C30" s="58"/>
      <c r="D30" s="59"/>
    </row>
    <row r="31" spans="1:4" s="31" customFormat="1" ht="12" customHeight="1">
      <c r="A31" s="45"/>
      <c r="B31" s="46"/>
      <c r="C31" s="47"/>
      <c r="D31" s="48"/>
    </row>
    <row r="32" spans="1:4" s="31" customFormat="1" ht="12" customHeight="1">
      <c r="A32" s="52" t="s">
        <v>94</v>
      </c>
      <c r="B32" s="60" t="s">
        <v>95</v>
      </c>
      <c r="D32" s="51"/>
    </row>
    <row r="33" spans="1:4" s="31" customFormat="1" ht="12" customHeight="1">
      <c r="A33" s="52"/>
      <c r="B33" s="60" t="s">
        <v>96</v>
      </c>
      <c r="D33" s="51"/>
    </row>
    <row r="34" spans="1:4" s="31" customFormat="1" ht="12" customHeight="1">
      <c r="A34" s="57"/>
      <c r="B34" s="61" t="s">
        <v>97</v>
      </c>
      <c r="C34" s="58"/>
      <c r="D34" s="59"/>
    </row>
  </sheetData>
  <sheetProtection/>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6"/>
  <sheetViews>
    <sheetView zoomScalePageLayoutView="0" workbookViewId="0" topLeftCell="A57">
      <selection activeCell="B71" sqref="B71:D71"/>
    </sheetView>
  </sheetViews>
  <sheetFormatPr defaultColWidth="9.00390625" defaultRowHeight="12.75"/>
  <cols>
    <col min="1" max="1" width="33.875" style="2" customWidth="1"/>
    <col min="2" max="2" width="6.125" style="2" customWidth="1"/>
    <col min="3" max="3" width="53.00390625" style="2" customWidth="1"/>
    <col min="4" max="16384" width="9.00390625" style="2" customWidth="1"/>
  </cols>
  <sheetData>
    <row r="1" spans="1:3" ht="33" customHeight="1">
      <c r="A1" s="105" t="s">
        <v>191</v>
      </c>
      <c r="B1" s="105"/>
      <c r="C1" s="105"/>
    </row>
    <row r="2" spans="1:3" ht="35.25" customHeight="1">
      <c r="A2" s="126" t="s">
        <v>105</v>
      </c>
      <c r="B2" s="135"/>
      <c r="C2" s="136"/>
    </row>
    <row r="3" ht="12.75">
      <c r="A3" s="30"/>
    </row>
    <row r="4" s="31" customFormat="1" ht="12"/>
    <row r="5" spans="1:3" ht="15">
      <c r="A5" s="65" t="s">
        <v>69</v>
      </c>
      <c r="B5" s="66"/>
      <c r="C5" s="67"/>
    </row>
    <row r="6" spans="1:3" ht="27" customHeight="1">
      <c r="A6" s="68" t="s">
        <v>106</v>
      </c>
      <c r="B6" s="137" t="s">
        <v>107</v>
      </c>
      <c r="C6" s="138"/>
    </row>
    <row r="7" spans="1:3" ht="12">
      <c r="A7" s="69"/>
      <c r="B7" s="70"/>
      <c r="C7" s="71"/>
    </row>
    <row r="8" spans="1:5" ht="12">
      <c r="A8" s="72" t="s">
        <v>72</v>
      </c>
      <c r="B8" s="73" t="s">
        <v>123</v>
      </c>
      <c r="C8" s="74" t="s">
        <v>124</v>
      </c>
      <c r="D8" s="75"/>
      <c r="E8" s="75"/>
    </row>
    <row r="9" spans="1:5" ht="12">
      <c r="A9" s="76"/>
      <c r="B9" s="73" t="s">
        <v>125</v>
      </c>
      <c r="C9" s="74" t="s">
        <v>126</v>
      </c>
      <c r="D9" s="75"/>
      <c r="E9" s="75"/>
    </row>
    <row r="10" spans="1:5" ht="12">
      <c r="A10" s="76"/>
      <c r="B10" s="73" t="s">
        <v>127</v>
      </c>
      <c r="C10" s="74" t="s">
        <v>128</v>
      </c>
      <c r="D10" s="75"/>
      <c r="E10" s="75"/>
    </row>
    <row r="11" spans="1:5" ht="24">
      <c r="A11" s="77"/>
      <c r="B11" s="78" t="s">
        <v>129</v>
      </c>
      <c r="C11" s="79" t="s">
        <v>130</v>
      </c>
      <c r="D11" s="75"/>
      <c r="E11" s="75"/>
    </row>
    <row r="12" spans="1:5" ht="7.5" customHeight="1">
      <c r="A12" s="80"/>
      <c r="B12" s="81"/>
      <c r="C12" s="82"/>
      <c r="D12" s="75"/>
      <c r="E12" s="75"/>
    </row>
    <row r="13" spans="1:5" s="87" customFormat="1" ht="12">
      <c r="A13" s="83" t="s">
        <v>77</v>
      </c>
      <c r="B13" s="84"/>
      <c r="C13" s="85"/>
      <c r="D13" s="86"/>
      <c r="E13" s="86"/>
    </row>
    <row r="14" spans="1:5" s="87" customFormat="1" ht="12">
      <c r="A14" s="83"/>
      <c r="B14" s="84"/>
      <c r="C14" s="85"/>
      <c r="D14" s="86"/>
      <c r="E14" s="86"/>
    </row>
    <row r="15" spans="1:6" ht="12">
      <c r="A15" s="88" t="s">
        <v>78</v>
      </c>
      <c r="B15" s="89" t="s">
        <v>131</v>
      </c>
      <c r="C15" s="90" t="s">
        <v>132</v>
      </c>
      <c r="D15" s="75"/>
      <c r="E15" s="75"/>
      <c r="F15" s="75"/>
    </row>
    <row r="16" spans="1:6" ht="24">
      <c r="A16" s="88"/>
      <c r="B16" s="89" t="s">
        <v>133</v>
      </c>
      <c r="C16" s="90" t="s">
        <v>134</v>
      </c>
      <c r="D16" s="75"/>
      <c r="E16" s="75"/>
      <c r="F16" s="75"/>
    </row>
    <row r="17" spans="1:6" ht="24">
      <c r="A17" s="91"/>
      <c r="B17" s="89" t="s">
        <v>135</v>
      </c>
      <c r="C17" s="90" t="s">
        <v>136</v>
      </c>
      <c r="D17" s="75"/>
      <c r="E17" s="75"/>
      <c r="F17" s="75"/>
    </row>
    <row r="18" spans="1:3" ht="12">
      <c r="A18" s="91"/>
      <c r="B18" s="92"/>
      <c r="C18" s="93"/>
    </row>
    <row r="19" spans="1:3" ht="12">
      <c r="A19" s="91"/>
      <c r="B19" s="92"/>
      <c r="C19" s="93"/>
    </row>
    <row r="20" spans="1:3" ht="36">
      <c r="A20" s="94" t="s">
        <v>82</v>
      </c>
      <c r="B20" s="95" t="s">
        <v>137</v>
      </c>
      <c r="C20" s="96" t="s">
        <v>138</v>
      </c>
    </row>
    <row r="21" spans="1:3" ht="24">
      <c r="A21" s="91"/>
      <c r="B21" s="95" t="s">
        <v>139</v>
      </c>
      <c r="C21" s="96" t="s">
        <v>140</v>
      </c>
    </row>
    <row r="22" spans="1:3" ht="24">
      <c r="A22" s="91"/>
      <c r="B22" s="95" t="s">
        <v>141</v>
      </c>
      <c r="C22" s="96" t="s">
        <v>142</v>
      </c>
    </row>
    <row r="23" spans="1:3" ht="12">
      <c r="A23" s="91"/>
      <c r="B23" s="97" t="s">
        <v>143</v>
      </c>
      <c r="C23" s="96" t="s">
        <v>144</v>
      </c>
    </row>
    <row r="24" spans="1:3" ht="12">
      <c r="A24" s="91"/>
      <c r="B24" s="97" t="s">
        <v>145</v>
      </c>
      <c r="C24" s="96" t="s">
        <v>146</v>
      </c>
    </row>
    <row r="25" spans="1:3" ht="24">
      <c r="A25" s="91"/>
      <c r="B25" s="97" t="s">
        <v>147</v>
      </c>
      <c r="C25" s="96" t="s">
        <v>148</v>
      </c>
    </row>
    <row r="26" spans="1:3" ht="24">
      <c r="A26" s="91"/>
      <c r="B26" s="97" t="s">
        <v>149</v>
      </c>
      <c r="C26" s="96" t="s">
        <v>150</v>
      </c>
    </row>
    <row r="27" spans="1:3" ht="12">
      <c r="A27" s="91"/>
      <c r="B27" s="92"/>
      <c r="C27" s="93"/>
    </row>
    <row r="28" spans="1:3" ht="12">
      <c r="A28" s="91"/>
      <c r="B28" s="92"/>
      <c r="C28" s="93"/>
    </row>
    <row r="29" spans="1:3" ht="12">
      <c r="A29" s="88" t="s">
        <v>86</v>
      </c>
      <c r="B29" s="98" t="s">
        <v>151</v>
      </c>
      <c r="C29" s="96" t="s">
        <v>152</v>
      </c>
    </row>
    <row r="30" spans="1:3" ht="24">
      <c r="A30" s="91"/>
      <c r="B30" s="98" t="s">
        <v>153</v>
      </c>
      <c r="C30" s="96" t="s">
        <v>154</v>
      </c>
    </row>
    <row r="31" spans="1:3" ht="25.5">
      <c r="A31" s="91"/>
      <c r="B31" s="98" t="s">
        <v>155</v>
      </c>
      <c r="C31" s="99" t="s">
        <v>156</v>
      </c>
    </row>
    <row r="32" spans="1:3" ht="25.5">
      <c r="A32" s="91"/>
      <c r="B32" s="98" t="s">
        <v>157</v>
      </c>
      <c r="C32" s="99" t="s">
        <v>158</v>
      </c>
    </row>
    <row r="33" spans="1:3" ht="12.75">
      <c r="A33" s="91"/>
      <c r="B33" s="98" t="s">
        <v>159</v>
      </c>
      <c r="C33" s="99" t="s">
        <v>160</v>
      </c>
    </row>
    <row r="34" spans="1:3" ht="12.75">
      <c r="A34" s="91"/>
      <c r="B34" s="98" t="s">
        <v>161</v>
      </c>
      <c r="C34" s="99" t="s">
        <v>162</v>
      </c>
    </row>
    <row r="35" spans="1:3" ht="12">
      <c r="A35" s="91"/>
      <c r="B35" s="98" t="s">
        <v>163</v>
      </c>
      <c r="C35" s="96" t="s">
        <v>164</v>
      </c>
    </row>
    <row r="36" spans="1:3" ht="25.5">
      <c r="A36" s="91"/>
      <c r="B36" s="98" t="s">
        <v>165</v>
      </c>
      <c r="C36" s="99" t="s">
        <v>166</v>
      </c>
    </row>
    <row r="37" spans="1:3" ht="12">
      <c r="A37" s="91"/>
      <c r="B37" s="98" t="s">
        <v>167</v>
      </c>
      <c r="C37" s="96" t="s">
        <v>168</v>
      </c>
    </row>
    <row r="38" spans="1:3" ht="25.5">
      <c r="A38" s="91"/>
      <c r="B38" s="98" t="s">
        <v>169</v>
      </c>
      <c r="C38" s="99" t="s">
        <v>170</v>
      </c>
    </row>
    <row r="39" spans="1:3" ht="24">
      <c r="A39" s="91"/>
      <c r="B39" s="98" t="s">
        <v>171</v>
      </c>
      <c r="C39" s="96" t="s">
        <v>172</v>
      </c>
    </row>
    <row r="40" spans="1:3" ht="24">
      <c r="A40" s="91"/>
      <c r="B40" s="98" t="s">
        <v>173</v>
      </c>
      <c r="C40" s="96" t="s">
        <v>174</v>
      </c>
    </row>
    <row r="41" spans="1:3" ht="12.75">
      <c r="A41" s="91"/>
      <c r="B41" s="98" t="s">
        <v>175</v>
      </c>
      <c r="C41" s="99" t="s">
        <v>176</v>
      </c>
    </row>
    <row r="42" spans="1:3" ht="24">
      <c r="A42" s="91"/>
      <c r="B42" s="98" t="s">
        <v>177</v>
      </c>
      <c r="C42" s="96" t="s">
        <v>178</v>
      </c>
    </row>
    <row r="43" spans="1:3" ht="12">
      <c r="A43" s="91"/>
      <c r="B43" s="98" t="s">
        <v>179</v>
      </c>
      <c r="C43" s="96" t="s">
        <v>180</v>
      </c>
    </row>
    <row r="44" spans="1:3" ht="12">
      <c r="A44" s="91"/>
      <c r="B44" s="100" t="s">
        <v>181</v>
      </c>
      <c r="C44" s="93" t="s">
        <v>182</v>
      </c>
    </row>
    <row r="45" spans="1:3" ht="12">
      <c r="A45" s="91"/>
      <c r="B45" s="100" t="s">
        <v>183</v>
      </c>
      <c r="C45" s="93" t="s">
        <v>184</v>
      </c>
    </row>
    <row r="46" spans="1:5" s="87" customFormat="1" ht="12">
      <c r="A46" s="101"/>
      <c r="B46" s="78"/>
      <c r="C46" s="79"/>
      <c r="D46" s="86"/>
      <c r="E46" s="86"/>
    </row>
    <row r="47" spans="1:5" ht="6" customHeight="1">
      <c r="A47" s="102"/>
      <c r="B47" s="81"/>
      <c r="C47" s="82"/>
      <c r="D47" s="75"/>
      <c r="E47" s="75"/>
    </row>
    <row r="48" spans="1:5" ht="12">
      <c r="A48" s="52" t="s">
        <v>94</v>
      </c>
      <c r="B48" s="73" t="s">
        <v>185</v>
      </c>
      <c r="C48" s="74" t="s">
        <v>186</v>
      </c>
      <c r="D48" s="75"/>
      <c r="E48" s="75"/>
    </row>
    <row r="49" spans="1:5" ht="12">
      <c r="A49" s="103"/>
      <c r="B49" s="73" t="s">
        <v>187</v>
      </c>
      <c r="C49" s="74" t="s">
        <v>188</v>
      </c>
      <c r="D49" s="75"/>
      <c r="E49" s="75"/>
    </row>
    <row r="50" spans="1:5" ht="12">
      <c r="A50" s="104"/>
      <c r="B50" s="78" t="s">
        <v>189</v>
      </c>
      <c r="C50" s="79" t="s">
        <v>190</v>
      </c>
      <c r="D50" s="75"/>
      <c r="E50" s="75"/>
    </row>
    <row r="52" ht="22.5" customHeight="1">
      <c r="A52" s="105" t="s">
        <v>3</v>
      </c>
    </row>
    <row r="53" spans="1:4" ht="15">
      <c r="A53" s="126" t="s">
        <v>105</v>
      </c>
      <c r="B53" s="127"/>
      <c r="C53" s="127"/>
      <c r="D53" s="128"/>
    </row>
    <row r="54" ht="12.75">
      <c r="A54" s="30"/>
    </row>
    <row r="55" ht="15">
      <c r="A55" s="32" t="s">
        <v>69</v>
      </c>
    </row>
    <row r="56" spans="1:4" ht="12">
      <c r="A56" s="33"/>
      <c r="B56" s="34"/>
      <c r="C56" s="35"/>
      <c r="D56" s="36"/>
    </row>
    <row r="57" spans="1:4" ht="12.75">
      <c r="A57" s="37" t="s">
        <v>106</v>
      </c>
      <c r="B57" s="139" t="s">
        <v>107</v>
      </c>
      <c r="C57" s="140"/>
      <c r="D57" s="141"/>
    </row>
    <row r="58" spans="1:4" ht="12">
      <c r="A58" s="41"/>
      <c r="B58" s="42"/>
      <c r="C58" s="43"/>
      <c r="D58" s="44"/>
    </row>
    <row r="59" spans="1:4" ht="12">
      <c r="A59" s="45"/>
      <c r="B59" s="46"/>
      <c r="C59" s="47"/>
      <c r="D59" s="48"/>
    </row>
    <row r="60" spans="1:4" ht="12">
      <c r="A60" s="49" t="s">
        <v>72</v>
      </c>
      <c r="B60" s="50" t="s">
        <v>108</v>
      </c>
      <c r="C60" s="31"/>
      <c r="D60" s="51"/>
    </row>
    <row r="61" spans="1:4" ht="12">
      <c r="A61" s="52"/>
      <c r="B61" s="50" t="s">
        <v>109</v>
      </c>
      <c r="C61" s="31"/>
      <c r="D61" s="51"/>
    </row>
    <row r="62" spans="1:4" ht="12">
      <c r="A62" s="52"/>
      <c r="B62" s="50" t="s">
        <v>110</v>
      </c>
      <c r="C62" s="31"/>
      <c r="D62" s="51"/>
    </row>
    <row r="63" spans="1:4" ht="12.75">
      <c r="A63" s="52"/>
      <c r="B63" s="142" t="s">
        <v>111</v>
      </c>
      <c r="C63" s="143"/>
      <c r="D63" s="144"/>
    </row>
    <row r="64" spans="1:4" ht="12">
      <c r="A64" s="45"/>
      <c r="B64" s="46"/>
      <c r="C64" s="47"/>
      <c r="D64" s="48"/>
    </row>
    <row r="65" spans="1:4" ht="12.75">
      <c r="A65" s="49" t="s">
        <v>77</v>
      </c>
      <c r="B65" s="145" t="s">
        <v>112</v>
      </c>
      <c r="C65" s="146"/>
      <c r="D65" s="147"/>
    </row>
    <row r="66" spans="1:4" ht="12">
      <c r="A66" s="49"/>
      <c r="B66" s="50" t="s">
        <v>113</v>
      </c>
      <c r="C66" s="31"/>
      <c r="D66" s="51"/>
    </row>
    <row r="67" spans="1:4" ht="12.75">
      <c r="A67" s="49"/>
      <c r="B67" s="129" t="s">
        <v>114</v>
      </c>
      <c r="C67" s="130"/>
      <c r="D67" s="131"/>
    </row>
    <row r="68" spans="1:4" ht="12.75">
      <c r="A68" s="49"/>
      <c r="B68" s="132" t="s">
        <v>115</v>
      </c>
      <c r="C68" s="133"/>
      <c r="D68" s="134"/>
    </row>
    <row r="69" spans="1:4" ht="12.75">
      <c r="A69" s="49"/>
      <c r="B69" s="129" t="s">
        <v>116</v>
      </c>
      <c r="C69" s="130"/>
      <c r="D69" s="131"/>
    </row>
    <row r="70" spans="1:4" ht="12.75">
      <c r="A70" s="49"/>
      <c r="B70" s="129" t="s">
        <v>117</v>
      </c>
      <c r="C70" s="130"/>
      <c r="D70" s="131"/>
    </row>
    <row r="71" spans="1:4" ht="12.75">
      <c r="A71" s="49"/>
      <c r="B71" s="129" t="s">
        <v>118</v>
      </c>
      <c r="C71" s="130"/>
      <c r="D71" s="131"/>
    </row>
    <row r="72" spans="1:4" ht="12.75">
      <c r="A72" s="49"/>
      <c r="B72" s="129" t="s">
        <v>119</v>
      </c>
      <c r="C72" s="130"/>
      <c r="D72" s="131"/>
    </row>
    <row r="73" spans="1:4" ht="12">
      <c r="A73" s="45"/>
      <c r="B73" s="46"/>
      <c r="C73" s="47"/>
      <c r="D73" s="48"/>
    </row>
    <row r="74" spans="1:4" ht="12">
      <c r="A74" s="52" t="s">
        <v>94</v>
      </c>
      <c r="B74" s="60" t="s">
        <v>120</v>
      </c>
      <c r="C74" s="31"/>
      <c r="D74" s="51"/>
    </row>
    <row r="75" spans="1:4" ht="12">
      <c r="A75" s="52"/>
      <c r="B75" s="60" t="s">
        <v>121</v>
      </c>
      <c r="C75" s="31"/>
      <c r="D75" s="51"/>
    </row>
    <row r="76" spans="1:4" ht="12">
      <c r="A76" s="57"/>
      <c r="B76" s="61" t="s">
        <v>122</v>
      </c>
      <c r="C76" s="58"/>
      <c r="D76" s="59"/>
    </row>
  </sheetData>
  <sheetProtection/>
  <mergeCells count="12">
    <mergeCell ref="A2:C2"/>
    <mergeCell ref="B6:C6"/>
    <mergeCell ref="A53:D53"/>
    <mergeCell ref="B57:D57"/>
    <mergeCell ref="B63:D63"/>
    <mergeCell ref="B65:D65"/>
    <mergeCell ref="B67:D67"/>
    <mergeCell ref="B68:D68"/>
    <mergeCell ref="B69:D69"/>
    <mergeCell ref="B70:D70"/>
    <mergeCell ref="B71:D71"/>
    <mergeCell ref="B72:D7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Pasqualini</dc:creator>
  <cp:keywords/>
  <dc:description/>
  <cp:lastModifiedBy>Federico Pasqualini</cp:lastModifiedBy>
  <dcterms:created xsi:type="dcterms:W3CDTF">2006-05-18T09:54:43Z</dcterms:created>
  <dcterms:modified xsi:type="dcterms:W3CDTF">2016-11-18T12:34:44Z</dcterms:modified>
  <cp:category/>
  <cp:version/>
  <cp:contentType/>
  <cp:contentStatus/>
</cp:coreProperties>
</file>